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/>
  </bookViews>
  <sheets>
    <sheet name="3-L" sheetId="1" r:id="rId1"/>
  </sheets>
  <externalReferences>
    <externalReference r:id="rId2"/>
    <externalReference r:id="rId3"/>
  </externalReferences>
  <definedNames>
    <definedName name="k">#REF!</definedName>
    <definedName name="L">#REF!</definedName>
    <definedName name="LoanProjectFinInfo2">'[2]3-A'!$B$6:$M$141</definedName>
    <definedName name="_xlnm.Print_Titles" localSheetId="0">'3-L'!$A:$P,'3-L'!$7:$8</definedName>
  </definedNames>
  <calcPr calcId="124519"/>
</workbook>
</file>

<file path=xl/calcChain.xml><?xml version="1.0" encoding="utf-8"?>
<calcChain xmlns="http://schemas.openxmlformats.org/spreadsheetml/2006/main">
  <c r="C10" i="1"/>
  <c r="D10"/>
  <c r="D17" s="1"/>
  <c r="C11"/>
  <c r="E11"/>
  <c r="F11"/>
  <c r="C12"/>
  <c r="F12" s="1"/>
  <c r="E12"/>
  <c r="E17" s="1"/>
  <c r="C13"/>
  <c r="F13" s="1"/>
  <c r="D14"/>
  <c r="E14"/>
  <c r="F14"/>
  <c r="E15"/>
  <c r="F15" s="1"/>
  <c r="F16"/>
  <c r="B17"/>
  <c r="C19"/>
  <c r="F19" s="1"/>
  <c r="D19"/>
  <c r="D25" s="1"/>
  <c r="C20"/>
  <c r="F20" s="1"/>
  <c r="D20"/>
  <c r="C21"/>
  <c r="D21"/>
  <c r="F21" s="1"/>
  <c r="C22"/>
  <c r="D22"/>
  <c r="E22"/>
  <c r="F22" s="1"/>
  <c r="C23"/>
  <c r="D23"/>
  <c r="F23"/>
  <c r="C24"/>
  <c r="D24"/>
  <c r="E24"/>
  <c r="F24"/>
  <c r="B25"/>
  <c r="E25"/>
  <c r="D27"/>
  <c r="E27"/>
  <c r="F27"/>
  <c r="D28"/>
  <c r="F28" s="1"/>
  <c r="E28"/>
  <c r="E29"/>
  <c r="F29" s="1"/>
  <c r="E30"/>
  <c r="F30" s="1"/>
  <c r="E31"/>
  <c r="F31" s="1"/>
  <c r="E32"/>
  <c r="F32" s="1"/>
  <c r="E33"/>
  <c r="F33" s="1"/>
  <c r="E34"/>
  <c r="F34" s="1"/>
  <c r="E35"/>
  <c r="F35" s="1"/>
  <c r="F36"/>
  <c r="C37"/>
  <c r="D37"/>
  <c r="C39"/>
  <c r="D39"/>
  <c r="D47" s="1"/>
  <c r="D49" s="1"/>
  <c r="C40"/>
  <c r="D40"/>
  <c r="E40"/>
  <c r="F40" s="1"/>
  <c r="D41"/>
  <c r="F41" s="1"/>
  <c r="C42"/>
  <c r="F42" s="1"/>
  <c r="D42"/>
  <c r="C43"/>
  <c r="D43"/>
  <c r="F43" s="1"/>
  <c r="E43"/>
  <c r="C44"/>
  <c r="D44"/>
  <c r="F44" s="1"/>
  <c r="C45"/>
  <c r="D45"/>
  <c r="E45"/>
  <c r="F45" s="1"/>
  <c r="C46"/>
  <c r="E46"/>
  <c r="F46"/>
  <c r="B47"/>
  <c r="B49" s="1"/>
  <c r="E47"/>
  <c r="F37" l="1"/>
  <c r="F25"/>
  <c r="F39"/>
  <c r="F47" s="1"/>
  <c r="C47"/>
  <c r="E37"/>
  <c r="E49" s="1"/>
  <c r="C17"/>
  <c r="F10"/>
  <c r="F17" s="1"/>
  <c r="C25"/>
  <c r="C49" l="1"/>
  <c r="F49"/>
</calcChain>
</file>

<file path=xl/sharedStrings.xml><?xml version="1.0" encoding="utf-8"?>
<sst xmlns="http://schemas.openxmlformats.org/spreadsheetml/2006/main" count="51" uniqueCount="47">
  <si>
    <t>Grand Total</t>
  </si>
  <si>
    <t>Subtotal</t>
  </si>
  <si>
    <t>Expansion of Dual Education and Training Project/TESDA/KFW</t>
  </si>
  <si>
    <t>Bridge Construction/Replacement Project/DPWH/Spain</t>
  </si>
  <si>
    <t>Mega Bridges for Urban and Rural Development/DPWH/France</t>
  </si>
  <si>
    <t>Greater Maritime Access (GMA) Ports/DOTC/France</t>
  </si>
  <si>
    <t>Mindanao Basic Improvement/DILG/Austria</t>
  </si>
  <si>
    <t>Tulay ng Pangulo Para sa Kaunlarang Pang-agraryo Project/DAR/France</t>
  </si>
  <si>
    <t>Agno River Integrated Irrigation Project/DA and NIA/China</t>
  </si>
  <si>
    <t>Others</t>
  </si>
  <si>
    <t>New Bohol Airport Construction and Sustainable Environment Protection Project/DOTC/JICA</t>
  </si>
  <si>
    <t>National Irrigation Sector Rehabilitation and Improvement Project/NIA and PHILRICE/JICA</t>
  </si>
  <si>
    <t>Flood Risk Management Project along Selected Principal Rivers 2/DPWH/JICA</t>
  </si>
  <si>
    <t>Pasig-Marikina River Channel Improvement Project Phase III/DPWH/JICA</t>
  </si>
  <si>
    <t>Mindanao Sustainable Agrarian and Agriculture Development Project/DAR, DPWH, and NIA/ JICA</t>
  </si>
  <si>
    <t>Arterial Road Bypass Project Phase 2/DPWH/JICA</t>
  </si>
  <si>
    <t>Central Luzon Link Expressway/DPWH/JICA</t>
  </si>
  <si>
    <t>Forest Land Management Project/DENR/JICA</t>
  </si>
  <si>
    <t>Road Upgrading and Preservation Project/DPWH/JICA</t>
  </si>
  <si>
    <t>Post Ondoy and Pepeng Short-term Infrastructure Rehabilitation Project/DPWH/JICA</t>
  </si>
  <si>
    <t>JICA</t>
  </si>
  <si>
    <t>National Program Support for Environment and Natural Resources Management Project/DENR/ WB</t>
  </si>
  <si>
    <t>Mindanao Rural Development Project-Phase 2/DA/WB</t>
  </si>
  <si>
    <t>National Program Support for Tax Administration/BIR/WB</t>
  </si>
  <si>
    <t>National Support for Basic Education/DepEd/WB</t>
  </si>
  <si>
    <t>Second Women's Health and Safe Motherhood Project/DOH/WB</t>
  </si>
  <si>
    <t>Judicial Reform/DOJ/WB</t>
  </si>
  <si>
    <t>WB</t>
  </si>
  <si>
    <t>Increasing Computer Television Program I/DOF/ADB</t>
  </si>
  <si>
    <t>Road Improvement and Institutional Development Project/DPWH/ADB</t>
  </si>
  <si>
    <t>Social Protection Support/DSWD/ADB</t>
  </si>
  <si>
    <t>Philippine Energy Efficiency Project/DOE/ADB</t>
  </si>
  <si>
    <t>Agrarian Reform Communities Project II/DAR/ADB</t>
  </si>
  <si>
    <t>Integrated Coastal Resource Management Project/DENR/ADB</t>
  </si>
  <si>
    <t>Health Sector Development Project/DOH and DOF/ADB</t>
  </si>
  <si>
    <t>ADB</t>
  </si>
  <si>
    <t>Total</t>
  </si>
  <si>
    <t>CY 2013</t>
  </si>
  <si>
    <t>CY 2012</t>
  </si>
  <si>
    <t>CY 2011</t>
  </si>
  <si>
    <t xml:space="preserve"> 2010 &amp; below</t>
  </si>
  <si>
    <t>Project Title/IA/FI</t>
  </si>
  <si>
    <t>(Figures in PhP)</t>
  </si>
  <si>
    <t>CY 2002 to CY 2013</t>
  </si>
  <si>
    <t xml:space="preserve">Cumulative CFs Paid per Project </t>
  </si>
  <si>
    <t>CY 2013 ODA PORTFOLIO REVIEW</t>
  </si>
  <si>
    <t>Annex 3-L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</si>
</sst>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\P* #,##0.00_);_(\P* \(#,##0.00\);_(\P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/>
    <xf numFmtId="164" fontId="2" fillId="0" borderId="0" xfId="1" applyNumberFormat="1" applyFont="1" applyAlignment="1"/>
    <xf numFmtId="0" fontId="2" fillId="0" borderId="0" xfId="0" applyFont="1" applyAlignment="1">
      <alignment horizontal="center"/>
    </xf>
    <xf numFmtId="17" fontId="2" fillId="0" borderId="0" xfId="1" applyNumberFormat="1" applyFont="1" applyAlignment="1"/>
    <xf numFmtId="43" fontId="2" fillId="0" borderId="0" xfId="1" applyFont="1" applyAlignmen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/>
    <xf numFmtId="164" fontId="3" fillId="0" borderId="0" xfId="1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6" fillId="3" borderId="1" xfId="2" applyNumberFormat="1" applyFont="1" applyFill="1" applyBorder="1" applyAlignment="1">
      <alignment horizontal="left"/>
    </xf>
    <xf numFmtId="0" fontId="6" fillId="3" borderId="1" xfId="2" applyFont="1" applyFill="1" applyBorder="1" applyAlignment="1">
      <alignment horizontal="left"/>
    </xf>
    <xf numFmtId="16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right"/>
    </xf>
  </cellXfs>
  <cellStyles count="29">
    <cellStyle name="40% - Accent5" xfId="2" builtinId="47"/>
    <cellStyle name="Comma" xfId="1" builtinId="3"/>
    <cellStyle name="Comma 2" xfId="3"/>
    <cellStyle name="Comma 2 2" xfId="4"/>
    <cellStyle name="Comma 2 3" xfId="5"/>
    <cellStyle name="Comma 3" xfId="6"/>
    <cellStyle name="Comma 4" xfId="7"/>
    <cellStyle name="Comma 5" xfId="8"/>
    <cellStyle name="Comma 6" xfId="9"/>
    <cellStyle name="Comma 7" xfId="10"/>
    <cellStyle name="Normal" xfId="0" builtinId="0"/>
    <cellStyle name="Normal 10" xfId="11"/>
    <cellStyle name="Normal 10 2" xfId="12"/>
    <cellStyle name="Normal 11" xfId="13"/>
    <cellStyle name="Normal 12" xfId="14"/>
    <cellStyle name="Normal 2" xfId="15"/>
    <cellStyle name="Normal 2 2" xfId="16"/>
    <cellStyle name="Normal 2 3" xfId="17"/>
    <cellStyle name="Normal 2 3 2" xfId="18"/>
    <cellStyle name="Normal 3" xfId="19"/>
    <cellStyle name="Normal 4" xfId="20"/>
    <cellStyle name="Normal 5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Percent 3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es%20for%20Sections%203%20and%204%20as%20of%20June%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S%20Files\Users\NEDA\Desktop\CY%202010%20ODA%20Review%20Final%20Report\CY%202010%20ODA%20Report%20(doc%20files)\CY%202010%20ODA%20Review%20Annexes%20(26%20June%202011)\Annex%203-A%20List%20of%20Active%20ODA%20Loa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K2"/>
      <sheetName val="3-M"/>
      <sheetName val="3-N"/>
      <sheetName val="3-O"/>
      <sheetName val="3-P"/>
      <sheetName val="3-Q"/>
      <sheetName val="3-R"/>
      <sheetName val="4-A"/>
      <sheetName val="4-B"/>
      <sheetName val="4-C"/>
      <sheetName val="4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zoomScale="80" zoomScaleNormal="80" workbookViewId="0">
      <pane xSplit="1" ySplit="8" topLeftCell="B27" activePane="bottomRight" state="frozen"/>
      <selection pane="topRight" activeCell="B1" sqref="B1"/>
      <selection pane="bottomLeft" activeCell="A8" sqref="A8"/>
      <selection pane="bottomRight" activeCell="B50" sqref="B50"/>
    </sheetView>
  </sheetViews>
  <sheetFormatPr defaultRowHeight="15.75"/>
  <cols>
    <col min="1" max="1" width="60.85546875" style="5" customWidth="1"/>
    <col min="2" max="2" width="17.7109375" style="3" customWidth="1"/>
    <col min="3" max="3" width="17.85546875" style="4" customWidth="1"/>
    <col min="4" max="4" width="19.140625" style="4" bestFit="1" customWidth="1"/>
    <col min="5" max="5" width="19.85546875" style="4" bestFit="1" customWidth="1"/>
    <col min="6" max="6" width="20.85546875" style="4" bestFit="1" customWidth="1"/>
    <col min="7" max="7" width="25.42578125" style="4" customWidth="1"/>
    <col min="8" max="8" width="29.85546875" style="4" customWidth="1"/>
    <col min="9" max="9" width="14.5703125" style="4" customWidth="1"/>
    <col min="10" max="10" width="14.7109375" style="4" customWidth="1"/>
    <col min="11" max="11" width="16.42578125" style="3" customWidth="1"/>
    <col min="12" max="12" width="13.42578125" style="2" customWidth="1"/>
    <col min="13" max="13" width="14" style="2" customWidth="1"/>
    <col min="14" max="14" width="16.28515625" style="1" customWidth="1"/>
    <col min="15" max="15" width="12.140625" style="1" customWidth="1"/>
    <col min="16" max="16" width="7.140625" style="1" customWidth="1"/>
    <col min="17" max="19" width="9.140625" style="1"/>
    <col min="20" max="20" width="9.140625" style="2"/>
    <col min="21" max="16384" width="9.140625" style="1"/>
  </cols>
  <sheetData>
    <row r="1" spans="1:20" s="8" customFormat="1" ht="13.5">
      <c r="A1" s="32"/>
      <c r="B1" s="32"/>
      <c r="C1" s="32"/>
      <c r="D1" s="32"/>
      <c r="E1" s="32"/>
      <c r="F1" s="35" t="s">
        <v>46</v>
      </c>
      <c r="G1" s="32"/>
      <c r="H1" s="11"/>
      <c r="I1" s="11"/>
      <c r="J1" s="11"/>
      <c r="K1" s="10"/>
      <c r="L1" s="9"/>
      <c r="M1" s="9"/>
      <c r="T1" s="9"/>
    </row>
    <row r="2" spans="1:20" s="8" customFormat="1" ht="13.5">
      <c r="A2" s="34"/>
      <c r="B2" s="34"/>
      <c r="C2" s="34"/>
      <c r="D2" s="34"/>
      <c r="E2" s="34"/>
      <c r="F2" s="34"/>
      <c r="G2" s="34"/>
      <c r="H2" s="12"/>
      <c r="I2" s="11"/>
      <c r="J2" s="11"/>
      <c r="K2" s="10"/>
      <c r="L2" s="9"/>
      <c r="M2" s="9"/>
      <c r="T2" s="9"/>
    </row>
    <row r="3" spans="1:20" s="8" customFormat="1" ht="13.5">
      <c r="A3" s="33" t="s">
        <v>45</v>
      </c>
      <c r="B3" s="33"/>
      <c r="C3" s="33"/>
      <c r="D3" s="33"/>
      <c r="E3" s="33"/>
      <c r="F3" s="33"/>
      <c r="G3" s="32"/>
      <c r="H3" s="11"/>
      <c r="I3" s="11"/>
      <c r="J3" s="11"/>
      <c r="K3" s="10"/>
      <c r="L3" s="9"/>
      <c r="M3" s="9"/>
      <c r="T3" s="9"/>
    </row>
    <row r="4" spans="1:20" s="8" customFormat="1" ht="13.5">
      <c r="A4" s="33" t="s">
        <v>44</v>
      </c>
      <c r="B4" s="33"/>
      <c r="C4" s="33"/>
      <c r="D4" s="33"/>
      <c r="E4" s="33"/>
      <c r="F4" s="33"/>
      <c r="G4" s="32"/>
      <c r="H4" s="11"/>
      <c r="I4" s="11"/>
      <c r="J4" s="11"/>
      <c r="K4" s="10"/>
      <c r="L4" s="9"/>
      <c r="M4" s="9"/>
      <c r="T4" s="9"/>
    </row>
    <row r="5" spans="1:20" s="8" customFormat="1" ht="13.5">
      <c r="A5" s="33" t="s">
        <v>43</v>
      </c>
      <c r="B5" s="33"/>
      <c r="C5" s="33"/>
      <c r="D5" s="33"/>
      <c r="E5" s="33"/>
      <c r="F5" s="33"/>
      <c r="G5" s="11"/>
      <c r="H5" s="11"/>
      <c r="I5" s="11"/>
      <c r="J5" s="11"/>
      <c r="K5" s="10"/>
      <c r="L5" s="9"/>
      <c r="M5" s="9"/>
      <c r="T5" s="9"/>
    </row>
    <row r="6" spans="1:20" s="8" customFormat="1" ht="13.5">
      <c r="A6" s="33" t="s">
        <v>42</v>
      </c>
      <c r="B6" s="33"/>
      <c r="C6" s="33"/>
      <c r="D6" s="33"/>
      <c r="E6" s="33"/>
      <c r="F6" s="33"/>
      <c r="G6" s="11"/>
      <c r="H6" s="11"/>
      <c r="I6" s="11"/>
      <c r="J6" s="11"/>
      <c r="K6" s="10"/>
      <c r="L6" s="9"/>
      <c r="M6" s="9"/>
      <c r="T6" s="9"/>
    </row>
    <row r="7" spans="1:20" s="13" customFormat="1" ht="13.5">
      <c r="A7" s="32"/>
      <c r="B7" s="32"/>
      <c r="C7" s="31"/>
      <c r="D7" s="31"/>
      <c r="E7" s="31"/>
      <c r="F7" s="31"/>
      <c r="G7" s="31"/>
      <c r="H7" s="31"/>
      <c r="I7" s="31"/>
      <c r="J7" s="31"/>
      <c r="K7" s="32"/>
      <c r="L7" s="31"/>
      <c r="M7" s="14"/>
      <c r="N7" s="8"/>
      <c r="T7" s="14"/>
    </row>
    <row r="8" spans="1:20" s="13" customFormat="1" ht="12.75">
      <c r="A8" s="30" t="s">
        <v>41</v>
      </c>
      <c r="B8" s="29" t="s">
        <v>40</v>
      </c>
      <c r="C8" s="29" t="s">
        <v>39</v>
      </c>
      <c r="D8" s="29" t="s">
        <v>38</v>
      </c>
      <c r="E8" s="29" t="s">
        <v>37</v>
      </c>
      <c r="F8" s="29" t="s">
        <v>36</v>
      </c>
      <c r="J8" s="14"/>
    </row>
    <row r="9" spans="1:20" s="13" customFormat="1" ht="12.75">
      <c r="A9" s="28" t="s">
        <v>35</v>
      </c>
      <c r="B9" s="27"/>
      <c r="C9" s="27"/>
      <c r="D9" s="27"/>
      <c r="E9" s="27"/>
      <c r="F9" s="27"/>
      <c r="J9" s="14"/>
    </row>
    <row r="10" spans="1:20" s="8" customFormat="1" ht="13.5">
      <c r="A10" s="20" t="s">
        <v>34</v>
      </c>
      <c r="B10" s="17">
        <v>2112185.6999999997</v>
      </c>
      <c r="C10" s="17">
        <f>675400.24+477545.07</f>
        <v>1152945.31</v>
      </c>
      <c r="D10" s="17">
        <f>397863.37+314924.08</f>
        <v>712787.45</v>
      </c>
      <c r="E10" s="17">
        <v>167280.67000000001</v>
      </c>
      <c r="F10" s="17">
        <f>SUM(B10:E10)</f>
        <v>4145199.13</v>
      </c>
      <c r="J10" s="9"/>
    </row>
    <row r="11" spans="1:20" s="8" customFormat="1" ht="13.5">
      <c r="A11" s="18" t="s">
        <v>33</v>
      </c>
      <c r="B11" s="17">
        <v>9752889.9900000002</v>
      </c>
      <c r="C11" s="17">
        <f>4537139.86+4358935.5</f>
        <v>8896075.3599999994</v>
      </c>
      <c r="D11" s="17">
        <v>4031922.96</v>
      </c>
      <c r="E11" s="17">
        <f>3235932.51+3013009.66</f>
        <v>6248942.1699999999</v>
      </c>
      <c r="F11" s="17">
        <f>SUM(B11:E11)</f>
        <v>28929830.480000004</v>
      </c>
      <c r="J11" s="9"/>
    </row>
    <row r="12" spans="1:20" s="8" customFormat="1" ht="13.5">
      <c r="A12" s="18" t="s">
        <v>32</v>
      </c>
      <c r="B12" s="17">
        <v>4577892.16</v>
      </c>
      <c r="C12" s="17">
        <f>2115944.86+2111943.95</f>
        <v>4227888.8100000005</v>
      </c>
      <c r="D12" s="17">
        <v>2061229.01</v>
      </c>
      <c r="E12" s="17">
        <f>1960904.47+1963898.41</f>
        <v>3924802.88</v>
      </c>
      <c r="F12" s="17">
        <f>SUM(B12:E12)</f>
        <v>14791812.859999999</v>
      </c>
      <c r="J12" s="9"/>
    </row>
    <row r="13" spans="1:20" s="8" customFormat="1" ht="13.5">
      <c r="A13" s="18" t="s">
        <v>31</v>
      </c>
      <c r="B13" s="17">
        <v>965820.55</v>
      </c>
      <c r="C13" s="17">
        <f>873348.31+846115.24</f>
        <v>1719463.55</v>
      </c>
      <c r="D13" s="17">
        <v>839100.38</v>
      </c>
      <c r="E13" s="17">
        <v>708678.25</v>
      </c>
      <c r="F13" s="17">
        <f>SUM(B13:E13)</f>
        <v>4233062.7300000004</v>
      </c>
      <c r="J13" s="9"/>
    </row>
    <row r="14" spans="1:20" s="8" customFormat="1" ht="13.5">
      <c r="A14" s="18" t="s">
        <v>30</v>
      </c>
      <c r="B14" s="17"/>
      <c r="C14" s="17"/>
      <c r="D14" s="17">
        <f>11146792.69+10338607.95</f>
        <v>21485400.640000001</v>
      </c>
      <c r="E14" s="17">
        <f>8253994.42+7228811.98</f>
        <v>15482806.4</v>
      </c>
      <c r="F14" s="17">
        <f>SUM(B14:E14)</f>
        <v>36968207.039999999</v>
      </c>
      <c r="J14" s="9"/>
    </row>
    <row r="15" spans="1:20" s="8" customFormat="1" ht="27">
      <c r="A15" s="18" t="s">
        <v>29</v>
      </c>
      <c r="B15" s="17"/>
      <c r="C15" s="17"/>
      <c r="D15" s="17">
        <v>2126083.4700000002</v>
      </c>
      <c r="E15" s="17">
        <f>1968817.78+2010005.09</f>
        <v>3978822.87</v>
      </c>
      <c r="F15" s="17">
        <f>SUM(B15:E15)</f>
        <v>6104906.3399999999</v>
      </c>
      <c r="J15" s="9"/>
    </row>
    <row r="16" spans="1:20" s="8" customFormat="1" ht="13.5">
      <c r="A16" s="26" t="s">
        <v>28</v>
      </c>
      <c r="B16" s="17"/>
      <c r="C16" s="17"/>
      <c r="D16" s="17"/>
      <c r="E16" s="17">
        <v>5230041.25</v>
      </c>
      <c r="F16" s="17">
        <f>SUM(B16:E16)</f>
        <v>5230041.25</v>
      </c>
      <c r="J16" s="9"/>
    </row>
    <row r="17" spans="1:10" s="8" customFormat="1" ht="13.5">
      <c r="A17" s="25" t="s">
        <v>1</v>
      </c>
      <c r="B17" s="23">
        <f>SUM(B10:B16)</f>
        <v>17408788.399999999</v>
      </c>
      <c r="C17" s="23">
        <f>SUM(C10:C16)</f>
        <v>15996373.030000001</v>
      </c>
      <c r="D17" s="23">
        <f>SUM(D10:D16)</f>
        <v>31256523.91</v>
      </c>
      <c r="E17" s="23">
        <f>SUM(E10:E16)</f>
        <v>35741374.489999995</v>
      </c>
      <c r="F17" s="23">
        <f>SUM(F10:F16)</f>
        <v>100403059.83000001</v>
      </c>
      <c r="J17" s="9"/>
    </row>
    <row r="18" spans="1:10" s="8" customFormat="1" ht="13.5">
      <c r="A18" s="22" t="s">
        <v>27</v>
      </c>
      <c r="B18" s="21"/>
      <c r="C18" s="21"/>
      <c r="D18" s="21"/>
      <c r="E18" s="21"/>
      <c r="F18" s="21"/>
      <c r="J18" s="9"/>
    </row>
    <row r="19" spans="1:10" s="8" customFormat="1" ht="13.5">
      <c r="A19" s="20" t="s">
        <v>26</v>
      </c>
      <c r="B19" s="17">
        <v>15860265.76</v>
      </c>
      <c r="C19" s="17">
        <f>507017.17+423818.95</f>
        <v>930836.12</v>
      </c>
      <c r="D19" s="17">
        <f>240388.27+103180.4</f>
        <v>343568.67</v>
      </c>
      <c r="E19" s="17">
        <v>50565.26</v>
      </c>
      <c r="F19" s="17">
        <f>SUM(B19:E19)</f>
        <v>17185235.810000002</v>
      </c>
      <c r="J19" s="9"/>
    </row>
    <row r="20" spans="1:10" s="8" customFormat="1" ht="27">
      <c r="A20" s="18" t="s">
        <v>25</v>
      </c>
      <c r="B20" s="17">
        <v>10137225.170000002</v>
      </c>
      <c r="C20" s="17">
        <f>659325.94+612716.9</f>
        <v>1272042.8399999999</v>
      </c>
      <c r="D20" s="17">
        <f>521122.74+448622.78</f>
        <v>969745.52</v>
      </c>
      <c r="E20" s="17">
        <v>395710.8</v>
      </c>
      <c r="F20" s="17">
        <f>SUM(B20:E20)</f>
        <v>12774724.330000002</v>
      </c>
      <c r="J20" s="9"/>
    </row>
    <row r="21" spans="1:10" s="8" customFormat="1" ht="13.5">
      <c r="A21" s="18" t="s">
        <v>24</v>
      </c>
      <c r="B21" s="17">
        <v>60532284.339999996</v>
      </c>
      <c r="C21" s="17">
        <f>2344149.27+991823.48</f>
        <v>3335972.75</v>
      </c>
      <c r="D21" s="17">
        <f>653888.82+388923.61</f>
        <v>1042812.4299999999</v>
      </c>
      <c r="E21" s="17">
        <v>79796.67</v>
      </c>
      <c r="F21" s="17">
        <f>SUM(B21:E21)</f>
        <v>64990866.189999998</v>
      </c>
      <c r="J21" s="9"/>
    </row>
    <row r="22" spans="1:10" s="8" customFormat="1" ht="13.5">
      <c r="A22" s="18" t="s">
        <v>23</v>
      </c>
      <c r="B22" s="17">
        <v>4129385.2</v>
      </c>
      <c r="C22" s="17">
        <f>489558.33+447759.66</f>
        <v>937317.99</v>
      </c>
      <c r="D22" s="17">
        <f>402649.95+363864.29</f>
        <v>766514.24</v>
      </c>
      <c r="E22" s="17">
        <f>283883.51+260857.29</f>
        <v>544740.80000000005</v>
      </c>
      <c r="F22" s="17">
        <f>SUM(B22:E22)</f>
        <v>6377958.2300000004</v>
      </c>
      <c r="J22" s="9"/>
    </row>
    <row r="23" spans="1:10" s="8" customFormat="1" ht="13.5">
      <c r="A23" s="18" t="s">
        <v>22</v>
      </c>
      <c r="B23" s="17">
        <v>30340256.150000002</v>
      </c>
      <c r="C23" s="17">
        <f>3725520.94+3553490.71</f>
        <v>7279011.6500000004</v>
      </c>
      <c r="D23" s="17">
        <f>3122033.02+2495468.37</f>
        <v>5617501.3900000006</v>
      </c>
      <c r="E23" s="17">
        <v>1495371.07</v>
      </c>
      <c r="F23" s="17">
        <f>SUM(B23:E23)</f>
        <v>44732140.260000005</v>
      </c>
      <c r="J23" s="9"/>
    </row>
    <row r="24" spans="1:10" s="8" customFormat="1" ht="27">
      <c r="A24" s="18" t="s">
        <v>21</v>
      </c>
      <c r="B24" s="17">
        <v>14919291.439999999</v>
      </c>
      <c r="C24" s="17">
        <f>1697254.71+1594969.8</f>
        <v>3292224.51</v>
      </c>
      <c r="D24" s="17">
        <f>1418763.39+961473.92</f>
        <v>2380237.31</v>
      </c>
      <c r="E24" s="17">
        <f>295193.05+110613.95</f>
        <v>405807</v>
      </c>
      <c r="F24" s="17">
        <f>SUM(B24:E24)</f>
        <v>20997560.259999998</v>
      </c>
      <c r="J24" s="9"/>
    </row>
    <row r="25" spans="1:10" s="8" customFormat="1" ht="13.5">
      <c r="A25" s="16" t="s">
        <v>1</v>
      </c>
      <c r="B25" s="23">
        <f>SUM(B19:B24)</f>
        <v>135918708.06</v>
      </c>
      <c r="C25" s="23">
        <f>SUM(C19:C24)</f>
        <v>17047405.859999999</v>
      </c>
      <c r="D25" s="23">
        <f>SUM(D19:D24)</f>
        <v>11120379.560000001</v>
      </c>
      <c r="E25" s="23">
        <f>SUM(E19:E24)</f>
        <v>2971991.6</v>
      </c>
      <c r="F25" s="23">
        <f>SUM(F19:F24)</f>
        <v>167058485.07999998</v>
      </c>
      <c r="J25" s="9"/>
    </row>
    <row r="26" spans="1:10" s="8" customFormat="1" ht="13.5">
      <c r="A26" s="22" t="s">
        <v>20</v>
      </c>
      <c r="B26" s="21"/>
      <c r="C26" s="21"/>
      <c r="D26" s="21"/>
      <c r="E26" s="21"/>
      <c r="F26" s="21"/>
      <c r="J26" s="9"/>
    </row>
    <row r="27" spans="1:10" s="8" customFormat="1" ht="27">
      <c r="A27" s="20" t="s">
        <v>19</v>
      </c>
      <c r="B27" s="17"/>
      <c r="C27" s="17">
        <v>1537085.2</v>
      </c>
      <c r="D27" s="17">
        <f>1042845.99+791021.75</f>
        <v>1833867.74</v>
      </c>
      <c r="E27" s="17">
        <f>369349.49+160603.36</f>
        <v>529952.85</v>
      </c>
      <c r="F27" s="17">
        <f>SUM(B27:E27)</f>
        <v>3900905.79</v>
      </c>
      <c r="J27" s="9"/>
    </row>
    <row r="28" spans="1:10" s="8" customFormat="1" ht="13.5">
      <c r="A28" s="18" t="s">
        <v>18</v>
      </c>
      <c r="B28" s="17"/>
      <c r="C28" s="17">
        <v>3289937.46</v>
      </c>
      <c r="D28" s="17">
        <f>10481267.92+10353565.89</f>
        <v>20834833.810000002</v>
      </c>
      <c r="E28" s="17">
        <f>8033812.47+8638422.12</f>
        <v>16672234.59</v>
      </c>
      <c r="F28" s="17">
        <f>SUM(B28:E28)</f>
        <v>40797005.859999999</v>
      </c>
      <c r="J28" s="9"/>
    </row>
    <row r="29" spans="1:10" s="8" customFormat="1" ht="13.5">
      <c r="A29" s="18" t="s">
        <v>17</v>
      </c>
      <c r="B29" s="17"/>
      <c r="C29" s="17"/>
      <c r="D29" s="17">
        <v>717116.38</v>
      </c>
      <c r="E29" s="17">
        <f>1852740.36+2006636.28</f>
        <v>3859376.64</v>
      </c>
      <c r="F29" s="17">
        <f>SUM(B29:E29)</f>
        <v>4576493.0200000005</v>
      </c>
      <c r="J29" s="9"/>
    </row>
    <row r="30" spans="1:10" s="8" customFormat="1" ht="13.5">
      <c r="A30" s="18" t="s">
        <v>16</v>
      </c>
      <c r="B30" s="17"/>
      <c r="C30" s="17"/>
      <c r="D30" s="17">
        <v>1772693.97</v>
      </c>
      <c r="E30" s="17">
        <f>4669955.17+5060218.02</f>
        <v>9730173.1899999995</v>
      </c>
      <c r="F30" s="17">
        <f>SUM(B30:E30)</f>
        <v>11502867.16</v>
      </c>
      <c r="J30" s="9"/>
    </row>
    <row r="31" spans="1:10" s="8" customFormat="1" ht="13.5">
      <c r="A31" s="18" t="s">
        <v>15</v>
      </c>
      <c r="B31" s="17"/>
      <c r="C31" s="17"/>
      <c r="D31" s="17">
        <v>357011.72</v>
      </c>
      <c r="E31" s="17">
        <f>938729.27+1010908.24</f>
        <v>1949637.51</v>
      </c>
      <c r="F31" s="17">
        <f>SUM(B31:E31)</f>
        <v>2306649.23</v>
      </c>
      <c r="J31" s="9"/>
    </row>
    <row r="32" spans="1:10" s="8" customFormat="1" ht="27">
      <c r="A32" s="18" t="s">
        <v>14</v>
      </c>
      <c r="B32" s="17"/>
      <c r="C32" s="17"/>
      <c r="D32" s="17">
        <v>471479.25</v>
      </c>
      <c r="E32" s="17">
        <f>1242057.16+1222004.69</f>
        <v>2464061.8499999996</v>
      </c>
      <c r="F32" s="17">
        <f>SUM(B32:E32)</f>
        <v>2935541.0999999996</v>
      </c>
      <c r="J32" s="9"/>
    </row>
    <row r="33" spans="1:10" s="8" customFormat="1" ht="27">
      <c r="A33" s="18" t="s">
        <v>13</v>
      </c>
      <c r="B33" s="17"/>
      <c r="C33" s="17"/>
      <c r="D33" s="17">
        <v>920407.52</v>
      </c>
      <c r="E33" s="17">
        <f>2424705.43+2627335.52</f>
        <v>5052040.95</v>
      </c>
      <c r="F33" s="17">
        <f>SUM(B33:E33)</f>
        <v>5972448.4700000007</v>
      </c>
      <c r="J33" s="9"/>
    </row>
    <row r="34" spans="1:10" s="8" customFormat="1" ht="27">
      <c r="A34" s="18" t="s">
        <v>12</v>
      </c>
      <c r="B34" s="17"/>
      <c r="C34" s="17"/>
      <c r="D34" s="17">
        <v>586802.27</v>
      </c>
      <c r="E34" s="17">
        <f>1545862.6+1675048.09</f>
        <v>3220910.6900000004</v>
      </c>
      <c r="F34" s="17">
        <f>SUM(B34:E34)</f>
        <v>3807712.9600000004</v>
      </c>
      <c r="J34" s="9"/>
    </row>
    <row r="35" spans="1:10" s="8" customFormat="1" ht="27">
      <c r="A35" s="18" t="s">
        <v>11</v>
      </c>
      <c r="B35" s="17"/>
      <c r="C35" s="17"/>
      <c r="D35" s="17">
        <v>481121.64</v>
      </c>
      <c r="E35" s="17">
        <f>1264016.57+1347408.4</f>
        <v>2611424.9699999997</v>
      </c>
      <c r="F35" s="17">
        <f>SUM(B35:E35)</f>
        <v>3092546.61</v>
      </c>
      <c r="J35" s="9"/>
    </row>
    <row r="36" spans="1:10" s="8" customFormat="1" ht="27">
      <c r="A36" s="20" t="s">
        <v>10</v>
      </c>
      <c r="B36" s="17"/>
      <c r="C36" s="17"/>
      <c r="D36" s="17"/>
      <c r="E36" s="17">
        <v>741424.36</v>
      </c>
      <c r="F36" s="17">
        <f>SUM(B36:E36)</f>
        <v>741424.36</v>
      </c>
      <c r="J36" s="9"/>
    </row>
    <row r="37" spans="1:10" s="8" customFormat="1" ht="23.25" customHeight="1">
      <c r="A37" s="24" t="s">
        <v>1</v>
      </c>
      <c r="B37" s="23"/>
      <c r="C37" s="23">
        <f>SUM(C27:C36)</f>
        <v>4827022.66</v>
      </c>
      <c r="D37" s="23">
        <f>SUM(D27:D36)</f>
        <v>27975334.299999997</v>
      </c>
      <c r="E37" s="23">
        <f>SUM(E27:E36)</f>
        <v>46831237.600000001</v>
      </c>
      <c r="F37" s="23">
        <f>SUM(F27:F36)</f>
        <v>79633594.559999987</v>
      </c>
      <c r="J37" s="9"/>
    </row>
    <row r="38" spans="1:10" s="8" customFormat="1" ht="13.5">
      <c r="A38" s="22" t="s">
        <v>9</v>
      </c>
      <c r="B38" s="21"/>
      <c r="C38" s="21"/>
      <c r="D38" s="21"/>
      <c r="E38" s="21"/>
      <c r="F38" s="21"/>
      <c r="J38" s="9"/>
    </row>
    <row r="39" spans="1:10" s="8" customFormat="1" ht="13.5">
      <c r="A39" s="18" t="s">
        <v>8</v>
      </c>
      <c r="B39" s="17">
        <v>5964077.8099999996</v>
      </c>
      <c r="C39" s="17">
        <f>6580049.95+5057964.09</f>
        <v>11638014.039999999</v>
      </c>
      <c r="D39" s="17">
        <f>3705608.45+2396455.86</f>
        <v>6102064.3100000005</v>
      </c>
      <c r="E39" s="17">
        <v>2810479.51</v>
      </c>
      <c r="F39" s="17">
        <f>SUM(B39:E39)</f>
        <v>26514635.669999994</v>
      </c>
      <c r="J39" s="9"/>
    </row>
    <row r="40" spans="1:10" s="8" customFormat="1" ht="27">
      <c r="A40" s="18" t="s">
        <v>7</v>
      </c>
      <c r="B40" s="17">
        <v>127971980.3</v>
      </c>
      <c r="C40" s="17">
        <f>58043838.35+55517768.03</f>
        <v>113561606.38</v>
      </c>
      <c r="D40" s="17">
        <f>49934922.34+45152856.59</f>
        <v>95087778.930000007</v>
      </c>
      <c r="E40" s="17">
        <f>29652880.51+27223507.04</f>
        <v>56876387.549999997</v>
      </c>
      <c r="F40" s="17">
        <f>SUM(B40:E40)</f>
        <v>393497753.16000003</v>
      </c>
      <c r="J40" s="9"/>
    </row>
    <row r="41" spans="1:10" s="8" customFormat="1" ht="13.5">
      <c r="A41" s="18" t="s">
        <v>6</v>
      </c>
      <c r="B41" s="17"/>
      <c r="C41" s="17"/>
      <c r="D41" s="17">
        <f>587356.61+593316.89+581655.34</f>
        <v>1762328.8399999999</v>
      </c>
      <c r="E41" s="17">
        <v>758898.64</v>
      </c>
      <c r="F41" s="17">
        <f>SUM(B41:E41)</f>
        <v>2521227.48</v>
      </c>
      <c r="J41" s="9"/>
    </row>
    <row r="42" spans="1:10" s="8" customFormat="1" ht="13.5">
      <c r="A42" s="18" t="s">
        <v>5</v>
      </c>
      <c r="B42" s="17">
        <v>89356301.430000007</v>
      </c>
      <c r="C42" s="17">
        <f>48072576.47+50751567.28</f>
        <v>98824143.75</v>
      </c>
      <c r="D42" s="17">
        <f>40815409.91+39480709.63</f>
        <v>80296119.539999992</v>
      </c>
      <c r="E42" s="17">
        <v>29825971.120000001</v>
      </c>
      <c r="F42" s="17">
        <f>SUM(B42:E42)</f>
        <v>298302535.84000003</v>
      </c>
      <c r="J42" s="9"/>
    </row>
    <row r="43" spans="1:10" s="8" customFormat="1" ht="13.5">
      <c r="A43" s="18" t="s">
        <v>4</v>
      </c>
      <c r="B43" s="17">
        <v>112363604.5</v>
      </c>
      <c r="C43" s="17">
        <f>20989426.5+19788116.78</f>
        <v>40777543.280000001</v>
      </c>
      <c r="D43" s="17">
        <f>14364229.01+14592304.58</f>
        <v>28956533.59</v>
      </c>
      <c r="E43" s="17">
        <f>10033115.97+10230783.83</f>
        <v>20263899.800000001</v>
      </c>
      <c r="F43" s="17">
        <f>SUM(B43:E43)</f>
        <v>202361581.17000002</v>
      </c>
      <c r="J43" s="9"/>
    </row>
    <row r="44" spans="1:10" s="8" customFormat="1" ht="13.5">
      <c r="A44" s="18" t="s">
        <v>3</v>
      </c>
      <c r="B44" s="17">
        <v>241998.85</v>
      </c>
      <c r="C44" s="17">
        <f>421401.3+137881.8</f>
        <v>559283.1</v>
      </c>
      <c r="D44" s="17">
        <f>61179.85+37843.61</f>
        <v>99023.459999999992</v>
      </c>
      <c r="E44" s="17">
        <v>6522.19</v>
      </c>
      <c r="F44" s="17">
        <f>SUM(B44:E44)</f>
        <v>906827.59999999986</v>
      </c>
      <c r="J44" s="9"/>
    </row>
    <row r="45" spans="1:10" s="8" customFormat="1" ht="13.5">
      <c r="A45" s="20" t="s">
        <v>2</v>
      </c>
      <c r="B45" s="17">
        <v>4375695.1899999995</v>
      </c>
      <c r="C45" s="17">
        <f>716278.33+637587.68</f>
        <v>1353866.01</v>
      </c>
      <c r="D45" s="17">
        <f>522020.42+459016.46</f>
        <v>981036.88</v>
      </c>
      <c r="E45" s="17">
        <f>414927.12+296961.32</f>
        <v>711888.44</v>
      </c>
      <c r="F45" s="17">
        <f>SUM(B45:E45)</f>
        <v>7422486.5199999996</v>
      </c>
      <c r="J45" s="9"/>
    </row>
    <row r="46" spans="1:10" s="8" customFormat="1" ht="13.5">
      <c r="A46" s="20" t="s">
        <v>2</v>
      </c>
      <c r="B46" s="17">
        <v>948961.34</v>
      </c>
      <c r="C46" s="17">
        <f>230662.6+187672.28</f>
        <v>418334.88</v>
      </c>
      <c r="D46" s="17"/>
      <c r="E46" s="17">
        <f>109042.7+90263.16</f>
        <v>199305.86</v>
      </c>
      <c r="F46" s="17">
        <f>SUM(B46:E46)</f>
        <v>1566602.08</v>
      </c>
      <c r="J46" s="9"/>
    </row>
    <row r="47" spans="1:10" s="8" customFormat="1" ht="13.5">
      <c r="A47" s="19" t="s">
        <v>1</v>
      </c>
      <c r="B47" s="17">
        <f>SUM(B39:B46)</f>
        <v>341222619.42000002</v>
      </c>
      <c r="C47" s="17">
        <f>SUM(C39:C46)</f>
        <v>267132791.43999997</v>
      </c>
      <c r="D47" s="17">
        <f>SUM(D39:D46)</f>
        <v>213284885.55000001</v>
      </c>
      <c r="E47" s="17">
        <f>SUM(E39:E46)-0.01</f>
        <v>111453353.09999998</v>
      </c>
      <c r="F47" s="17">
        <f>SUM(F39:F46)</f>
        <v>933093649.52000022</v>
      </c>
      <c r="J47" s="9"/>
    </row>
    <row r="48" spans="1:10" s="8" customFormat="1" ht="13.5">
      <c r="A48" s="18"/>
      <c r="B48" s="17"/>
      <c r="C48" s="17"/>
      <c r="D48" s="17"/>
      <c r="E48" s="17"/>
      <c r="F48" s="17"/>
      <c r="J48" s="9"/>
    </row>
    <row r="49" spans="1:20" s="13" customFormat="1" ht="12.75">
      <c r="A49" s="16" t="s">
        <v>0</v>
      </c>
      <c r="B49" s="15">
        <f>SUM(B47+B37+B25+B17)</f>
        <v>494550115.88</v>
      </c>
      <c r="C49" s="15">
        <f>SUM(C47+C37+C25+C17)</f>
        <v>305003592.99000001</v>
      </c>
      <c r="D49" s="15">
        <f>SUM(D47+D37+D25+D17)</f>
        <v>283637123.32000005</v>
      </c>
      <c r="E49" s="15">
        <f>SUM(E47+E37+E25+E17)</f>
        <v>196997956.78999996</v>
      </c>
      <c r="F49" s="15">
        <f>SUM(F47+F37+F25+F17)</f>
        <v>1280188788.99</v>
      </c>
      <c r="J49" s="14"/>
    </row>
    <row r="50" spans="1:20" s="8" customFormat="1" ht="13.5">
      <c r="A50" s="12"/>
      <c r="B50" s="10"/>
      <c r="C50" s="11"/>
      <c r="D50" s="11"/>
      <c r="E50" s="11"/>
      <c r="F50" s="11"/>
      <c r="G50" s="11"/>
      <c r="H50" s="11"/>
      <c r="I50" s="11"/>
      <c r="J50" s="11"/>
      <c r="K50" s="10"/>
      <c r="L50" s="9"/>
      <c r="M50" s="9"/>
      <c r="N50" s="9"/>
      <c r="O50" s="9"/>
      <c r="P50" s="9"/>
      <c r="T50" s="9"/>
    </row>
    <row r="51" spans="1:20">
      <c r="N51" s="2"/>
      <c r="O51" s="2"/>
      <c r="P51" s="2"/>
    </row>
    <row r="52" spans="1:20">
      <c r="C52" s="7"/>
      <c r="D52" s="7"/>
      <c r="E52" s="6"/>
      <c r="N52" s="2"/>
      <c r="O52" s="2"/>
      <c r="P52" s="2"/>
    </row>
    <row r="53" spans="1:20">
      <c r="N53" s="2"/>
      <c r="P53" s="2"/>
    </row>
    <row r="54" spans="1:20">
      <c r="C54" s="6"/>
      <c r="D54" s="6"/>
      <c r="E54" s="6"/>
      <c r="F54" s="6"/>
      <c r="G54" s="6"/>
      <c r="I54" s="6"/>
      <c r="N54" s="2"/>
    </row>
    <row r="55" spans="1:20">
      <c r="N55" s="2"/>
    </row>
    <row r="56" spans="1:20">
      <c r="N56" s="2"/>
    </row>
  </sheetData>
  <mergeCells count="4">
    <mergeCell ref="A3:F3"/>
    <mergeCell ref="A4:F4"/>
    <mergeCell ref="A5:F5"/>
    <mergeCell ref="A6:F6"/>
  </mergeCells>
  <printOptions horizontalCentered="1"/>
  <pageMargins left="0.75" right="0.5" top="0.5" bottom="0.5" header="0.5" footer="0.5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3-L</vt:lpstr>
      <vt:lpstr>'3-L'!Print_Titles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S. Francisco</dc:creator>
  <cp:lastModifiedBy>Augusto S. Francisco</cp:lastModifiedBy>
  <dcterms:created xsi:type="dcterms:W3CDTF">2015-02-09T08:01:24Z</dcterms:created>
  <dcterms:modified xsi:type="dcterms:W3CDTF">2015-02-09T08:02:43Z</dcterms:modified>
</cp:coreProperties>
</file>