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740" yWindow="1845" windowWidth="18165" windowHeight="9615"/>
  </bookViews>
  <sheets>
    <sheet name="Chapter 4 Annex B" sheetId="1" r:id="rId1"/>
  </sheets>
  <externalReferences>
    <externalReference r:id="rId2"/>
    <externalReference r:id="rId3"/>
    <externalReference r:id="rId4"/>
    <externalReference r:id="rId5"/>
    <externalReference r:id="rId6"/>
    <externalReference r:id="rId7"/>
  </externalReferences>
  <definedNames>
    <definedName name="_xlnm.Print_Area" localSheetId="0">'Chapter 4 Annex B'!$A$1:$AY$43</definedName>
    <definedName name="_xlnm.Print_Titles" localSheetId="0">'Chapter 4 Annex B'!$A:$A,'Chapter 4 Annex B'!$1:$4</definedName>
  </definedNames>
  <calcPr calcId="125725"/>
</workbook>
</file>

<file path=xl/calcChain.xml><?xml version="1.0" encoding="utf-8"?>
<calcChain xmlns="http://schemas.openxmlformats.org/spreadsheetml/2006/main">
  <c r="AB32" i="1"/>
  <c r="AG32" s="1"/>
  <c r="AB24"/>
  <c r="AG24" s="1"/>
  <c r="V32"/>
  <c r="V24"/>
  <c r="P24"/>
  <c r="J32"/>
  <c r="O32" s="1"/>
  <c r="AM32" s="1"/>
  <c r="J24"/>
  <c r="AO36"/>
  <c r="V12"/>
  <c r="AH12" s="1"/>
  <c r="AB12"/>
  <c r="AG12"/>
  <c r="AN12"/>
  <c r="AS12" s="1"/>
  <c r="AN15"/>
  <c r="AS15"/>
  <c r="AN14"/>
  <c r="AS14" s="1"/>
  <c r="AB15"/>
  <c r="V15"/>
  <c r="V35"/>
  <c r="AQ24"/>
  <c r="AQ22"/>
  <c r="AS22"/>
  <c r="AN24"/>
  <c r="AT24" s="1"/>
  <c r="AP22"/>
  <c r="AN22"/>
  <c r="AW21"/>
  <c r="AV34"/>
  <c r="AU34"/>
  <c r="AO35"/>
  <c r="AO37"/>
  <c r="AP35"/>
  <c r="AQ35"/>
  <c r="AR35"/>
  <c r="AQ33"/>
  <c r="AP33"/>
  <c r="AS33" s="1"/>
  <c r="AR33"/>
  <c r="AN33"/>
  <c r="AR21"/>
  <c r="AN21"/>
  <c r="AS21" s="1"/>
  <c r="AS11"/>
  <c r="AS17"/>
  <c r="AS34"/>
  <c r="AN16"/>
  <c r="AS16"/>
  <c r="AL34"/>
  <c r="AX34" s="1"/>
  <c r="AY34" s="1"/>
  <c r="AH34"/>
  <c r="AT34"/>
  <c r="AG34"/>
  <c r="AM34" s="1"/>
  <c r="AF33"/>
  <c r="AF36"/>
  <c r="AE33"/>
  <c r="AD33"/>
  <c r="AB33"/>
  <c r="AG33" s="1"/>
  <c r="Z33"/>
  <c r="Y33"/>
  <c r="X33"/>
  <c r="V33"/>
  <c r="AA33" s="1"/>
  <c r="Q36"/>
  <c r="T33"/>
  <c r="S33"/>
  <c r="AK33" s="1"/>
  <c r="AW33" s="1"/>
  <c r="R33"/>
  <c r="AJ33" s="1"/>
  <c r="AV33" s="1"/>
  <c r="P33"/>
  <c r="AH33" s="1"/>
  <c r="AT33" s="1"/>
  <c r="AF35"/>
  <c r="AF37" s="1"/>
  <c r="AC35"/>
  <c r="AC37" s="1"/>
  <c r="AD35"/>
  <c r="AE35"/>
  <c r="W35"/>
  <c r="W37" s="1"/>
  <c r="X35"/>
  <c r="X37" s="1"/>
  <c r="Y35"/>
  <c r="Z35"/>
  <c r="Q35"/>
  <c r="Q37"/>
  <c r="R35"/>
  <c r="S35"/>
  <c r="T35"/>
  <c r="P35"/>
  <c r="U35"/>
  <c r="K35"/>
  <c r="K37" s="1"/>
  <c r="L35"/>
  <c r="M35"/>
  <c r="N35"/>
  <c r="J35"/>
  <c r="AI16"/>
  <c r="AJ16"/>
  <c r="AV16"/>
  <c r="AK16"/>
  <c r="AW16" s="1"/>
  <c r="AL16"/>
  <c r="AX16"/>
  <c r="AB16"/>
  <c r="AH16" s="1"/>
  <c r="U15"/>
  <c r="AA14"/>
  <c r="AA35" s="1"/>
  <c r="U14"/>
  <c r="K36"/>
  <c r="AI36"/>
  <c r="N36"/>
  <c r="N37" s="1"/>
  <c r="W36"/>
  <c r="AC36"/>
  <c r="AI33"/>
  <c r="AI24"/>
  <c r="AJ24"/>
  <c r="AV24" s="1"/>
  <c r="AL24"/>
  <c r="AX24"/>
  <c r="AE24"/>
  <c r="Y24"/>
  <c r="AA24"/>
  <c r="S24"/>
  <c r="S36" s="1"/>
  <c r="S37" s="1"/>
  <c r="M24"/>
  <c r="M36" s="1"/>
  <c r="AK36" s="1"/>
  <c r="O24"/>
  <c r="AM24" s="1"/>
  <c r="AI22"/>
  <c r="AL22"/>
  <c r="AX22" s="1"/>
  <c r="AE22"/>
  <c r="AB22"/>
  <c r="AG22" s="1"/>
  <c r="AG36" s="1"/>
  <c r="AB36"/>
  <c r="AB37" s="1"/>
  <c r="Y22"/>
  <c r="AK22" s="1"/>
  <c r="AW22" s="1"/>
  <c r="V22"/>
  <c r="AA22" s="1"/>
  <c r="P22"/>
  <c r="U22" s="1"/>
  <c r="J22"/>
  <c r="O22" s="1"/>
  <c r="AH17"/>
  <c r="AT17" s="1"/>
  <c r="AI17"/>
  <c r="AA16"/>
  <c r="AJ17"/>
  <c r="AU17" s="1"/>
  <c r="AK17"/>
  <c r="AW17"/>
  <c r="AL17"/>
  <c r="AL35" s="1"/>
  <c r="AG17"/>
  <c r="AA17"/>
  <c r="U17"/>
  <c r="AI14"/>
  <c r="AJ14"/>
  <c r="AU14" s="1"/>
  <c r="AU35" s="1"/>
  <c r="AL14"/>
  <c r="AI15"/>
  <c r="AI35" s="1"/>
  <c r="AI37" s="1"/>
  <c r="AJ15"/>
  <c r="AU15"/>
  <c r="AK15"/>
  <c r="AK35" s="1"/>
  <c r="AW15"/>
  <c r="AL15"/>
  <c r="AX15"/>
  <c r="O15"/>
  <c r="AD32"/>
  <c r="X32"/>
  <c r="R32"/>
  <c r="R36"/>
  <c r="R37"/>
  <c r="P32"/>
  <c r="L32"/>
  <c r="AI32"/>
  <c r="AK32"/>
  <c r="AW32" s="1"/>
  <c r="AL32"/>
  <c r="AX32"/>
  <c r="AD22"/>
  <c r="AD36" s="1"/>
  <c r="X22"/>
  <c r="X36"/>
  <c r="R22"/>
  <c r="L22"/>
  <c r="L36" s="1"/>
  <c r="AJ22"/>
  <c r="AV22" s="1"/>
  <c r="AF21"/>
  <c r="AB21"/>
  <c r="AG21"/>
  <c r="Z21"/>
  <c r="V21"/>
  <c r="AA21"/>
  <c r="P11"/>
  <c r="P36" s="1"/>
  <c r="T21"/>
  <c r="AL21"/>
  <c r="AX21"/>
  <c r="P21"/>
  <c r="U21"/>
  <c r="AG11"/>
  <c r="AA11"/>
  <c r="O11"/>
  <c r="O12"/>
  <c r="O21"/>
  <c r="O36" s="1"/>
  <c r="AJ21"/>
  <c r="AV21" s="1"/>
  <c r="AL11"/>
  <c r="AK11"/>
  <c r="AJ11"/>
  <c r="AK14"/>
  <c r="AH14"/>
  <c r="AT14" s="1"/>
  <c r="AG14"/>
  <c r="O14"/>
  <c r="AM14" s="1"/>
  <c r="O35"/>
  <c r="AG16"/>
  <c r="AV15"/>
  <c r="AU16"/>
  <c r="Z36"/>
  <c r="Z37"/>
  <c r="AM17"/>
  <c r="AH21"/>
  <c r="AM21" s="1"/>
  <c r="AE36"/>
  <c r="AE37"/>
  <c r="U24"/>
  <c r="AQ36"/>
  <c r="AQ37" s="1"/>
  <c r="AH32"/>
  <c r="AT32"/>
  <c r="AR36"/>
  <c r="AR37" s="1"/>
  <c r="AB35"/>
  <c r="U33"/>
  <c r="AM33" s="1"/>
  <c r="AN35"/>
  <c r="AH24"/>
  <c r="AT21"/>
  <c r="Y36"/>
  <c r="Y37"/>
  <c r="AW14"/>
  <c r="AW35" s="1"/>
  <c r="AA32"/>
  <c r="AX14"/>
  <c r="AG15"/>
  <c r="AG35" s="1"/>
  <c r="AG37" s="1"/>
  <c r="AS35"/>
  <c r="AJ32"/>
  <c r="AV32" s="1"/>
  <c r="J36"/>
  <c r="J37" s="1"/>
  <c r="AL33"/>
  <c r="AX33" s="1"/>
  <c r="U11"/>
  <c r="AA15"/>
  <c r="U32"/>
  <c r="AH15"/>
  <c r="AH11"/>
  <c r="AM11" s="1"/>
  <c r="AU21"/>
  <c r="AU36" s="1"/>
  <c r="T36"/>
  <c r="T37" s="1"/>
  <c r="AT15"/>
  <c r="AY15"/>
  <c r="AY14" l="1"/>
  <c r="U36"/>
  <c r="U37" s="1"/>
  <c r="P37"/>
  <c r="AJ36"/>
  <c r="L37"/>
  <c r="AM12"/>
  <c r="AT12"/>
  <c r="AY12" s="1"/>
  <c r="AK37"/>
  <c r="AY33"/>
  <c r="V37"/>
  <c r="AV36"/>
  <c r="AY21"/>
  <c r="AM16"/>
  <c r="AT16"/>
  <c r="AY16" s="1"/>
  <c r="AY32"/>
  <c r="M37"/>
  <c r="O37"/>
  <c r="AX36"/>
  <c r="AU37"/>
  <c r="AD37"/>
  <c r="AL36"/>
  <c r="AL37" s="1"/>
  <c r="AT11"/>
  <c r="AH36"/>
  <c r="AH35"/>
  <c r="AH22"/>
  <c r="AN36"/>
  <c r="AN37" s="1"/>
  <c r="AS37" s="1"/>
  <c r="AS24"/>
  <c r="AS36" s="1"/>
  <c r="AV14"/>
  <c r="AJ35"/>
  <c r="AJ37" s="1"/>
  <c r="AX17"/>
  <c r="AX35" s="1"/>
  <c r="AX37" s="1"/>
  <c r="AV17"/>
  <c r="AY17" s="1"/>
  <c r="V36"/>
  <c r="AM15"/>
  <c r="AM35" s="1"/>
  <c r="AP36"/>
  <c r="AP37" s="1"/>
  <c r="AK24"/>
  <c r="AW24" s="1"/>
  <c r="AY24" s="1"/>
  <c r="AA12"/>
  <c r="AA36" s="1"/>
  <c r="AA37" s="1"/>
  <c r="AM37" l="1"/>
  <c r="AT22"/>
  <c r="AY22" s="1"/>
  <c r="AM22"/>
  <c r="AM36" s="1"/>
  <c r="AW36"/>
  <c r="AW37" s="1"/>
  <c r="AY35"/>
  <c r="AY11"/>
  <c r="AT35"/>
  <c r="AV35"/>
  <c r="AV37" s="1"/>
  <c r="AH37"/>
  <c r="AY37" l="1"/>
  <c r="AY36"/>
  <c r="AT36"/>
  <c r="AT37" s="1"/>
</calcChain>
</file>

<file path=xl/sharedStrings.xml><?xml version="1.0" encoding="utf-8"?>
<sst xmlns="http://schemas.openxmlformats.org/spreadsheetml/2006/main" count="263" uniqueCount="168">
  <si>
    <t>Agency Name</t>
  </si>
  <si>
    <t xml:space="preserve">Spatial Coverage
</t>
  </si>
  <si>
    <t>PDP Chapter</t>
  </si>
  <si>
    <t>16-Point Agenda Addressed</t>
  </si>
  <si>
    <t>PDP Results Matrices (RM) Critical Indicators Addressed</t>
  </si>
  <si>
    <t>Region</t>
  </si>
  <si>
    <t>2013</t>
  </si>
  <si>
    <t>2014</t>
  </si>
  <si>
    <t>2015</t>
  </si>
  <si>
    <t>2016</t>
  </si>
  <si>
    <t>NG</t>
  </si>
  <si>
    <t>GOCC/ GFIs</t>
  </si>
  <si>
    <t>ODA Grant</t>
  </si>
  <si>
    <t>Private Sector</t>
  </si>
  <si>
    <t>Subtotal</t>
  </si>
  <si>
    <t>(A)</t>
  </si>
  <si>
    <t>(B)</t>
  </si>
  <si>
    <t>(C)</t>
  </si>
  <si>
    <t>(E)</t>
  </si>
  <si>
    <t>(F)</t>
  </si>
  <si>
    <t>(G)</t>
  </si>
  <si>
    <t>(H)</t>
  </si>
  <si>
    <t>(I)</t>
  </si>
  <si>
    <t>(J)</t>
  </si>
  <si>
    <t>(K)</t>
  </si>
  <si>
    <t>(L)</t>
  </si>
  <si>
    <t>(M)</t>
  </si>
  <si>
    <t>(N)</t>
  </si>
  <si>
    <t>(O)</t>
  </si>
  <si>
    <t>(P)</t>
  </si>
  <si>
    <t>(Q)</t>
  </si>
  <si>
    <t>( R )</t>
  </si>
  <si>
    <t>(S)</t>
  </si>
  <si>
    <t>(T)</t>
  </si>
  <si>
    <t>(U)</t>
  </si>
  <si>
    <t>(V)</t>
  </si>
  <si>
    <t>(W)</t>
  </si>
  <si>
    <t>(X)</t>
  </si>
  <si>
    <t>(Y)</t>
  </si>
  <si>
    <t>(Z)</t>
  </si>
  <si>
    <t>(AA)</t>
  </si>
  <si>
    <t>(AB)</t>
  </si>
  <si>
    <t>(AC)</t>
  </si>
  <si>
    <t>(AD)</t>
  </si>
  <si>
    <t>(AE)</t>
  </si>
  <si>
    <t>(AF)</t>
  </si>
  <si>
    <t>(AG)</t>
  </si>
  <si>
    <t>(AH)</t>
  </si>
  <si>
    <t>Construction of a 140-m rockfill central core dam across Sumacbao River, powerhouse equipped with two Francis Type turbine with a capacity of 15 MW each, diversion weir, main canals and laterals, drainage channels and access/service roads.</t>
  </si>
  <si>
    <t>Region-Specific</t>
  </si>
  <si>
    <t>III</t>
  </si>
  <si>
    <t>2, 7,16</t>
  </si>
  <si>
    <t>The project aims to provide year round irrigation water supply to some 8,700 ha of agricultural land through the construction/installation of dam/pump, construction of reservoir dam, irrigation canal &amp; structures.</t>
  </si>
  <si>
    <t>Interrregional</t>
  </si>
  <si>
    <t>to be determined</t>
  </si>
  <si>
    <t>The project envisioned to provide dependable irrigation water supply to the proposed 30,000 ha service area of Ilaguen Multipurpose Project and to generate 88,000 KW of hydro electric power. It also aims to create employment and improve farmers incomethereby uplifting the socio-economic life of the beneficiaries in various municipalities in the province of Isabela.</t>
  </si>
  <si>
    <t>The project involves the construction of 81 meters high dam to impound the river and run off water for irrigation and hydro electric power.</t>
  </si>
  <si>
    <t>NCR</t>
  </si>
  <si>
    <t xml:space="preserve"> II</t>
  </si>
  <si>
    <t>2, 7, 16</t>
  </si>
  <si>
    <t>II</t>
  </si>
  <si>
    <t xml:space="preserve"> II, III, IV-A, V, VI, VII, VIII, X, XI, XII
</t>
  </si>
  <si>
    <t>IV-B, V, VIII XIII, ARMM</t>
  </si>
  <si>
    <t>I, IV-A, V, VI, XI</t>
  </si>
  <si>
    <t>2, 7</t>
  </si>
  <si>
    <t>(i) Balintingon Reservoir Multipurpose Project</t>
  </si>
  <si>
    <t>(ii) Chico River Pump Irrigation Project</t>
  </si>
  <si>
    <t>(ii) Nationwide Fish Ports Project (Package III)</t>
  </si>
  <si>
    <t xml:space="preserve">This project is viewed with concern as the number of small farms/farms is still rising due to agrarian reform program. The need to upgrade the present road network and construct new ones is really important as it removes one of the constraints in improving agricultural productivity. With the rehabilitation of existing farm roads and construction of new ones, sugarcane farmers would be encouraged to invest more on their farms in order to maximize its productivity potentials and open idle but arable lands for higher income.  </t>
  </si>
  <si>
    <t>(i) Mechanization of the Philippine Sugarcane Farms</t>
  </si>
  <si>
    <t xml:space="preserve">The proposed project will focus on preparation of Master Plan for the Rehabilitation of Regional Fish Ports as well as its implementation to reduce substantial post-harvest losses, operational inefficiency and increasing maintenance cost resulted from improper handling practices, lack of fishery post-harvest infrastructures and support services.  </t>
  </si>
  <si>
    <t>II, III, IV-A, V, VI, VII, VIII, X, XI, XII</t>
  </si>
  <si>
    <t xml:space="preserve">The employment of mechanized inputs into cultural management of cane farms has a direct and significant effect on achievable levels of cane production and profitability of the cane farming business. Besides achieving increased farm production through the use of improved tools and machinery, farm mechanization also contributes to a more cost-efficient farming practice, will solve the problem on shortage of farm laborers, diminish the incidents of child labor and will guarantee sustainable sugarcane farming. </t>
  </si>
  <si>
    <t>(ii) Philippine Rural Development Program (PRDP)</t>
  </si>
  <si>
    <t>The proposed project is an upgrading/improvement of existing facilities at NFPC which is a major fishing unloading and distribution center in the country. The port handles about 80% of the fish supply in Metro Manila and neighboring cities/ municipalities. There are fishery-related and ancillary businesses located inside the port such as canning factories, refrigeration facilities, boat repairs, fuel depot, etc. The operation of NFPC as well as the private business inside the port provides employment opportunities to local residents of Navotas, Malabon and others.</t>
  </si>
  <si>
    <t xml:space="preserve">PRDP is a six-year national government platform for a modern and climate-smart agriculture to be pursued through partnerships with local government units and agri-fishery stakeholders. The program will operationalize the national and regional Agriculture and Fishery Modernization Plans (AFMPs) through integration of plans at the provincial level. It will be guided by the vulnerability and suitability assessment framework. And it will develop value chain roadmaps that will serve as an input in the selection and prioritization of investments in the target areas.
</t>
  </si>
  <si>
    <t>(iii) Ilaguen Multipurpose Project</t>
  </si>
  <si>
    <t>(iv) Tumauini Reservoir Project</t>
  </si>
  <si>
    <t>DA</t>
  </si>
  <si>
    <t>(ii) Gearing Rural Organization for Wealth Creation Towards Household Income Improvement (Project GROWTH)</t>
  </si>
  <si>
    <t>DAR</t>
  </si>
  <si>
    <t>IX, X, CARAGA</t>
  </si>
  <si>
    <t>Interregional</t>
  </si>
  <si>
    <t>The proposed project would benefit thousands of coastal communities from the services and opportunities that the project will provide. FishCoRAL shall adopt the ecosystem approach to CRM and include among interventions, activities that will protect not just aquatic habitats such as mangroves, coral reefs, and environment. It shall also promote the bay-wide approach to management involving contiguous municipalities that will work closely to protect and rehabilitate their resources.</t>
  </si>
  <si>
    <t>(AO)</t>
  </si>
  <si>
    <t>(AP)</t>
  </si>
  <si>
    <t>(AQ)</t>
  </si>
  <si>
    <t>(AR)</t>
  </si>
  <si>
    <t>(AS)</t>
  </si>
  <si>
    <t>(AT)</t>
  </si>
  <si>
    <t>(c) MFO 4 and 5</t>
  </si>
  <si>
    <t>(a) MFO 4: FMR Network Services</t>
  </si>
  <si>
    <t>(b) MFO 5: A&amp;F Equipment and Facilities Support Services</t>
  </si>
  <si>
    <t>(a) MFO 2: Technical and Support Services</t>
  </si>
  <si>
    <t>Sub-MFO 2.1: Production Support Services</t>
  </si>
  <si>
    <t>Sub-MFO 2.3: Extension Support, Education and Training Services</t>
  </si>
  <si>
    <t>DA Total Investment Targets</t>
  </si>
  <si>
    <t>DAR Total Investment Targets</t>
  </si>
  <si>
    <t>The project aims to reduce incidence of poverty through crop diversification and increased farm incomes of 135,000 agricultural households in 91 ARCs, 11 ARC clusters, 50 municipalities and 515 barangays.</t>
  </si>
  <si>
    <t>4, 8</t>
  </si>
  <si>
    <t>7, 8</t>
  </si>
  <si>
    <t>The project's objective is to significantly increase household income and improve the quality of life of 297,493 agrarian reform beneficiaries in 107 ARCs by increasing farm productivity and improving their capacities to undertake agribusiness activities in asustainable manner.</t>
  </si>
  <si>
    <t>(iii) Agribusiness Clusters Engagement Strategy (ACES)</t>
  </si>
  <si>
    <t>The project will provide technical assistance for capacity building, enterprise development support and rural infrastructure support in clustered agrarian reform communities in order to spur economic growth and ensure sustainable development.</t>
  </si>
  <si>
    <t>(iv) Korean Solar Power Technology Support to Agrarian Reform Communities  (K-SPOTS 3)</t>
  </si>
  <si>
    <t>The project aims to address rural poverty in the un-energized and off-grid agrarian reform communities in order to promote livelihood and apply solar energy technology as the enabling technology for sustainable development.</t>
  </si>
  <si>
    <t xml:space="preserve">The project aims to promote bulk handling and transport of major agricultural products from consolidation centers in South Luzon to demand areas in Manila, through the South Railway System. Consolidation centers equipped with cold chain equipment, warehouses and other needed facilities will be established in strategic areas along the Southrail in the Provinces of Laguna, Quezon and the Bicol Region.  This is expected to make more efficient the transportation of goods by operating in bulk thus reducing costs and avoiding informal fees and extortions from various checkpoints at the national and provincial roads from South Luzon to Metro Manila. </t>
  </si>
  <si>
    <t>DA, DOTC</t>
  </si>
  <si>
    <t>IV-A, IV-B, V</t>
  </si>
  <si>
    <t>(b) MFO 3: Irrigation Network Services*</t>
  </si>
  <si>
    <t>(i) Construction/Rehabilitation of Farm-to-Mill Roads*</t>
  </si>
  <si>
    <t>a/ includes FEF in 2013 (NG)</t>
  </si>
  <si>
    <t>b/ no available breakdown by MFO</t>
  </si>
  <si>
    <t>c/ no available breakdown by MFO and by funding source, includes contingencies and currently in design phase</t>
  </si>
  <si>
    <t>d/ No available breakdown by MFO, and by year; FS to be conducted by DA and DOTC; Total Project Cost is P1 billion; implementation period is from 2016 to 2026</t>
  </si>
  <si>
    <t>Note: DA’s old MFOs were grouped and categorized under each new MFO.</t>
  </si>
  <si>
    <t>Total 
(2013-2016)</t>
  </si>
  <si>
    <t>(AU)</t>
  </si>
  <si>
    <t>(AV)</t>
  </si>
  <si>
    <t>(AW)</t>
  </si>
  <si>
    <t>(AX)</t>
  </si>
  <si>
    <t>(v) Balog-Balog MPIP, Phase II</t>
  </si>
  <si>
    <t>Construction of  113 m high  earth  &amp; rockfill dam with storage capacity of 625 MCM, flood control in low-lying areas. The project envisions to provide upland communities to engage in inland fish production on the reservoir.</t>
  </si>
  <si>
    <t>Region-specific</t>
  </si>
  <si>
    <t>NEDA Board Confirmation on 29 November 2012. ICC/NB approved cost is PhP2,036.64 million.</t>
  </si>
  <si>
    <t>(To be determined)
SRA  to submit proposal to DA-Wide Project Clearing House 3 per DA-AO #29</t>
  </si>
  <si>
    <t xml:space="preserve">(To be determined)
For cost updating by PFDA and endorsement to NEDA by 1st Quarter of 2014 </t>
  </si>
  <si>
    <t>Societal Goal: Reduced Poverty and Quality Employment Creation</t>
  </si>
  <si>
    <t xml:space="preserve">I. Sector Outcome: Competitive and Sustainable Agriculture and Fisheries Sector </t>
  </si>
  <si>
    <t>IA. Subsector/Intermediate Outcomes (a) and (b): Increase Agricultural Productivity and Forward Linkage to the Industry and Fisheries Sector</t>
  </si>
  <si>
    <t>(c) MFO 1: Support Services implemented, facilitated and coordinated for delivery to ARBs</t>
  </si>
  <si>
    <t>IB. Subsector/Intermediate Outcomes (a) and (c): Increase Agricultural Productivity and Increased Sector Resilience to Climate Change Risks</t>
  </si>
  <si>
    <t>Level of postharvest losses reduced</t>
  </si>
  <si>
    <t>Yield of major commodities increased/ Private investments in agri-related activities increased</t>
  </si>
  <si>
    <t>Yield/volume of production of major commodities increased</t>
  </si>
  <si>
    <t>Yield of major commodities increased/ Annual proportion of farm households' income to total income decreased</t>
  </si>
  <si>
    <t>(i) Upgrading/Rehabilitation of Navotas Fish Port Complex</t>
  </si>
  <si>
    <r>
      <t>(i) PRDP a</t>
    </r>
    <r>
      <rPr>
        <i/>
        <sz val="10"/>
        <rFont val="Arial"/>
        <family val="2"/>
      </rPr>
      <t>/</t>
    </r>
  </si>
  <si>
    <r>
      <t>(i) PRDP b</t>
    </r>
    <r>
      <rPr>
        <i/>
        <sz val="10"/>
        <rFont val="Arial"/>
        <family val="2"/>
      </rPr>
      <t>/</t>
    </r>
  </si>
  <si>
    <r>
      <t>(ii) Fisheries, Coastal Resources and Livelihood (FishCoRAL) Project c</t>
    </r>
    <r>
      <rPr>
        <i/>
        <sz val="10"/>
        <rFont val="Arial"/>
        <family val="2"/>
      </rPr>
      <t>/</t>
    </r>
  </si>
  <si>
    <t>Total Investment Targets</t>
  </si>
  <si>
    <r>
      <t>(iii) Public-Private-Partnership Program:Logistics Support on the Agri-Fishery Products Supply Chain
(Transportation of Agri-Fishery Products Utilizing the Southrail Main Line) d</t>
    </r>
    <r>
      <rPr>
        <i/>
        <sz val="10"/>
        <rFont val="Arial"/>
        <family val="2"/>
      </rPr>
      <t>/</t>
    </r>
  </si>
  <si>
    <t>Continuing Investment Targets</t>
  </si>
  <si>
    <t>Overall Total</t>
  </si>
  <si>
    <t>II, III, IV-A, IV-B, V, VI, VII, VIII, XI, XII</t>
  </si>
  <si>
    <t>(i) Convergence on Value-Chain Enhancement for Rural Growth &amp; Empowerment (ConVERGE)</t>
  </si>
  <si>
    <t>(AI)</t>
  </si>
  <si>
    <t>(AJ)</t>
  </si>
  <si>
    <t>(AK)</t>
  </si>
  <si>
    <t>(AL)</t>
  </si>
  <si>
    <t>(AM)</t>
  </si>
  <si>
    <t>(AN)</t>
  </si>
  <si>
    <t>Program/Project Title</t>
  </si>
  <si>
    <t>Program/Project Description</t>
  </si>
  <si>
    <t>Nationwide/ Interregional/ Region-Specific</t>
  </si>
  <si>
    <t>LGUs</t>
  </si>
  <si>
    <t>Investment Targets In Thousand Pesos (PhP '000)</t>
  </si>
  <si>
    <t>(AY)</t>
  </si>
  <si>
    <t>To be determined.
Presented to the NB on 18 September 2013 and still awaiting PFDA submission in compliance to the NB conditions. The agreements were further formalized thru a letter last 23 September 2013 and a follow up letter was sent dated 05 October, the deadline for submission is 04 November 2013.</t>
  </si>
  <si>
    <t>(D)</t>
  </si>
  <si>
    <t xml:space="preserve">CAR, ARMM, I, II, III, IV-A, IV-B, V, VI, VII, VIII, IX,X, XI, XII, XIII </t>
  </si>
  <si>
    <t xml:space="preserve">CAR, ARMM, I, II, III, IV-A, IV-B, V, VI, VII, VIII, IX, X, XI, XII, XIII </t>
  </si>
  <si>
    <t>Yield/volume of production of major commodities increased &amp; Volume of industrial crops production increased</t>
  </si>
  <si>
    <t xml:space="preserve">Volume of production increased &amp; A&amp;F GVA increased
</t>
  </si>
  <si>
    <t>Expected  Date of Presentation to the ICC</t>
  </si>
  <si>
    <t xml:space="preserve">*Total investment target amounting to PhP21,965.95  million (6 projects) for major irrigation and farm-to-mill road are reflected and ranked in Chapter 10: Accelerating Infrastructure Development.
</t>
  </si>
  <si>
    <t>NEDA Board Confirmation on 26 June 2013. NEDA Board approved cost is PhP 27,535.33 million.</t>
  </si>
  <si>
    <t>For presentation to the NEDA Board in 2014</t>
  </si>
</sst>
</file>

<file path=xl/styles.xml><?xml version="1.0" encoding="utf-8"?>
<styleSheet xmlns="http://schemas.openxmlformats.org/spreadsheetml/2006/main">
  <numFmts count="2">
    <numFmt numFmtId="43" formatCode="_(* #,##0.00_);_(* \(#,##0.00\);_(* &quot;-&quot;??_);_(@_)"/>
    <numFmt numFmtId="164" formatCode="#,##0,_);\(#,##0,\)"/>
  </numFmts>
  <fonts count="8">
    <font>
      <sz val="11"/>
      <color theme="1"/>
      <name val="Calibri"/>
      <family val="2"/>
      <scheme val="minor"/>
    </font>
    <font>
      <b/>
      <sz val="10"/>
      <name val="Arial"/>
      <family val="2"/>
    </font>
    <font>
      <sz val="10"/>
      <name val="Arial"/>
      <family val="2"/>
    </font>
    <font>
      <sz val="11"/>
      <color indexed="8"/>
      <name val="Calibri"/>
      <family val="2"/>
    </font>
    <font>
      <sz val="10"/>
      <color indexed="8"/>
      <name val="Arial"/>
      <family val="2"/>
    </font>
    <font>
      <i/>
      <sz val="10"/>
      <name val="Arial"/>
      <family val="2"/>
    </font>
    <font>
      <sz val="11"/>
      <color theme="1"/>
      <name val="Calibri"/>
      <family val="2"/>
      <scheme val="minor"/>
    </font>
    <font>
      <sz val="8"/>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43" fontId="3" fillId="0" borderId="0" applyFont="0" applyFill="0" applyBorder="0" applyAlignment="0" applyProtection="0"/>
    <xf numFmtId="43" fontId="4" fillId="0" borderId="0" applyFont="0" applyFill="0" applyBorder="0" applyAlignment="0" applyProtection="0">
      <alignment vertical="top"/>
    </xf>
    <xf numFmtId="43" fontId="3" fillId="0" borderId="0" applyFont="0" applyFill="0" applyBorder="0" applyAlignment="0" applyProtection="0"/>
    <xf numFmtId="0" fontId="4" fillId="0" borderId="0"/>
    <xf numFmtId="9" fontId="6" fillId="0" borderId="0" applyFont="0" applyFill="0" applyBorder="0" applyAlignment="0" applyProtection="0"/>
  </cellStyleXfs>
  <cellXfs count="77">
    <xf numFmtId="0" fontId="0" fillId="0" borderId="0" xfId="0"/>
    <xf numFmtId="0" fontId="2" fillId="0" borderId="1" xfId="0" applyFont="1" applyFill="1" applyBorder="1" applyAlignment="1">
      <alignment horizontal="left" vertical="top" wrapText="1"/>
    </xf>
    <xf numFmtId="0" fontId="2" fillId="0" borderId="0" xfId="0" applyFont="1" applyFill="1" applyBorder="1"/>
    <xf numFmtId="2" fontId="2" fillId="0" borderId="1" xfId="2" applyNumberFormat="1"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center"/>
    </xf>
    <xf numFmtId="9" fontId="1" fillId="0" borderId="1" xfId="5" applyFont="1" applyFill="1" applyBorder="1" applyAlignment="1">
      <alignment horizontal="center" vertical="center" wrapText="1"/>
    </xf>
    <xf numFmtId="0" fontId="2" fillId="0" borderId="1" xfId="0" applyFont="1" applyFill="1" applyBorder="1" applyAlignment="1">
      <alignment horizontal="left" vertical="top"/>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0" fontId="2" fillId="0" borderId="1" xfId="0" applyFont="1" applyFill="1" applyBorder="1"/>
    <xf numFmtId="0" fontId="2" fillId="0" borderId="1"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0" xfId="0" applyFont="1" applyFill="1" applyBorder="1" applyAlignment="1">
      <alignment horizontal="center" vertical="top" wrapText="1"/>
    </xf>
    <xf numFmtId="43" fontId="2" fillId="0" borderId="0" xfId="1" applyFont="1" applyFill="1" applyBorder="1" applyAlignment="1">
      <alignment horizontal="right" vertical="top" wrapText="1"/>
    </xf>
    <xf numFmtId="0" fontId="2" fillId="0" borderId="0" xfId="0" applyFont="1" applyFill="1" applyBorder="1" applyAlignment="1">
      <alignment horizontal="left" vertical="top" wrapText="1"/>
    </xf>
    <xf numFmtId="164" fontId="2" fillId="0" borderId="0" xfId="0" applyNumberFormat="1" applyFont="1" applyFill="1" applyBorder="1"/>
    <xf numFmtId="0" fontId="2" fillId="0" borderId="0" xfId="0" applyFont="1" applyFill="1" applyBorder="1" applyAlignment="1">
      <alignment vertical="center"/>
    </xf>
    <xf numFmtId="43" fontId="2" fillId="0" borderId="0" xfId="1" applyFont="1" applyFill="1" applyBorder="1" applyAlignment="1">
      <alignment horizontal="left" vertical="top" wrapText="1"/>
    </xf>
    <xf numFmtId="43" fontId="2" fillId="0" borderId="0" xfId="0" applyNumberFormat="1" applyFont="1" applyFill="1" applyBorder="1"/>
    <xf numFmtId="43" fontId="2" fillId="0" borderId="0" xfId="0" applyNumberFormat="1" applyFont="1" applyFill="1" applyBorder="1" applyAlignment="1">
      <alignment horizontal="left"/>
    </xf>
    <xf numFmtId="0" fontId="2" fillId="0" borderId="1" xfId="0" applyFont="1" applyFill="1" applyBorder="1" applyAlignment="1">
      <alignment vertical="top" wrapText="1"/>
    </xf>
    <xf numFmtId="0" fontId="2" fillId="0" borderId="1" xfId="0" applyFont="1" applyFill="1" applyBorder="1" applyAlignment="1">
      <alignment horizontal="right" vertical="top" wrapText="1"/>
    </xf>
    <xf numFmtId="0" fontId="2" fillId="0" borderId="0" xfId="0" applyFont="1" applyFill="1" applyBorder="1" applyAlignment="1">
      <alignment horizontal="right" vertical="top"/>
    </xf>
    <xf numFmtId="0" fontId="2" fillId="0" borderId="0" xfId="0" applyFont="1" applyFill="1" applyBorder="1" applyAlignment="1">
      <alignment vertical="top" wrapText="1"/>
    </xf>
    <xf numFmtId="0" fontId="2" fillId="0" borderId="0" xfId="0" applyFont="1" applyFill="1" applyBorder="1" applyAlignment="1">
      <alignment horizontal="center" vertical="top"/>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xf>
    <xf numFmtId="0" fontId="1" fillId="0" borderId="1" xfId="0" applyFont="1" applyFill="1" applyBorder="1"/>
    <xf numFmtId="0" fontId="1" fillId="0" borderId="1" xfId="0" applyFont="1" applyFill="1" applyBorder="1" applyAlignment="1">
      <alignment horizontal="left"/>
    </xf>
    <xf numFmtId="43" fontId="2" fillId="0" borderId="1" xfId="0" applyNumberFormat="1" applyFont="1" applyFill="1" applyBorder="1" applyAlignment="1">
      <alignment vertical="top" wrapText="1"/>
    </xf>
    <xf numFmtId="43" fontId="2" fillId="0" borderId="1" xfId="1" applyNumberFormat="1" applyFont="1" applyFill="1" applyBorder="1" applyAlignment="1">
      <alignment vertical="top" wrapText="1"/>
    </xf>
    <xf numFmtId="43" fontId="2" fillId="0" borderId="1" xfId="0" applyNumberFormat="1" applyFont="1" applyFill="1" applyBorder="1" applyAlignment="1">
      <alignment vertical="center"/>
    </xf>
    <xf numFmtId="43" fontId="2" fillId="0" borderId="1" xfId="0" applyNumberFormat="1" applyFont="1" applyFill="1" applyBorder="1"/>
    <xf numFmtId="43" fontId="2" fillId="0" borderId="1" xfId="1" applyNumberFormat="1" applyFont="1" applyFill="1" applyBorder="1" applyAlignment="1">
      <alignment vertical="top"/>
    </xf>
    <xf numFmtId="43" fontId="2" fillId="0" borderId="1" xfId="4" applyNumberFormat="1" applyFont="1" applyFill="1" applyBorder="1" applyAlignment="1">
      <alignment horizontal="right" vertical="top" wrapText="1"/>
    </xf>
    <xf numFmtId="43" fontId="2" fillId="0" borderId="1" xfId="0" applyNumberFormat="1" applyFont="1" applyFill="1" applyBorder="1" applyAlignment="1">
      <alignment vertical="top"/>
    </xf>
    <xf numFmtId="43" fontId="2" fillId="0" borderId="1" xfId="1" applyNumberFormat="1" applyFont="1" applyFill="1" applyBorder="1" applyAlignment="1">
      <alignment horizontal="right" vertical="top" wrapText="1"/>
    </xf>
    <xf numFmtId="43" fontId="2" fillId="0" borderId="1" xfId="1" applyNumberFormat="1" applyFont="1" applyFill="1" applyBorder="1" applyAlignment="1">
      <alignment horizontal="right" vertical="top"/>
    </xf>
    <xf numFmtId="43" fontId="2" fillId="0" borderId="1" xfId="0" applyNumberFormat="1" applyFont="1" applyFill="1" applyBorder="1" applyAlignment="1">
      <alignment horizontal="right" vertical="top"/>
    </xf>
    <xf numFmtId="43" fontId="2" fillId="0" borderId="1" xfId="2" applyNumberFormat="1" applyFont="1" applyFill="1" applyBorder="1" applyAlignment="1">
      <alignment horizontal="right" vertical="top" wrapText="1"/>
    </xf>
    <xf numFmtId="43" fontId="2" fillId="0" borderId="1" xfId="0" applyNumberFormat="1" applyFont="1" applyFill="1" applyBorder="1" applyAlignment="1">
      <alignment horizontal="right"/>
    </xf>
    <xf numFmtId="43" fontId="2" fillId="0" borderId="1" xfId="0" applyNumberFormat="1" applyFont="1" applyFill="1" applyBorder="1" applyAlignment="1">
      <alignment horizontal="right" vertical="top" wrapText="1"/>
    </xf>
    <xf numFmtId="43" fontId="2" fillId="0" borderId="1" xfId="1" applyNumberFormat="1" applyFont="1" applyFill="1" applyBorder="1" applyAlignment="1">
      <alignment horizontal="right"/>
    </xf>
    <xf numFmtId="43" fontId="2" fillId="0" borderId="1" xfId="1" applyNumberFormat="1" applyFont="1" applyFill="1" applyBorder="1" applyAlignment="1">
      <alignment horizontal="right" wrapText="1"/>
    </xf>
    <xf numFmtId="43" fontId="1" fillId="0" borderId="1" xfId="1" applyNumberFormat="1" applyFont="1" applyFill="1" applyBorder="1" applyAlignment="1">
      <alignment horizontal="right" wrapText="1"/>
    </xf>
    <xf numFmtId="43" fontId="1" fillId="0" borderId="1" xfId="1" applyNumberFormat="1" applyFont="1" applyFill="1" applyBorder="1" applyAlignment="1">
      <alignment horizontal="right"/>
    </xf>
    <xf numFmtId="43" fontId="1" fillId="0" borderId="1" xfId="0" applyNumberFormat="1" applyFont="1" applyFill="1" applyBorder="1" applyAlignment="1">
      <alignment horizontal="right" vertical="top"/>
    </xf>
    <xf numFmtId="164" fontId="1" fillId="2" borderId="1"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0" xfId="0" applyFont="1" applyFill="1" applyBorder="1" applyAlignment="1">
      <alignment horizontal="left" vertical="top" wrapText="1"/>
    </xf>
    <xf numFmtId="16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wrapText="1"/>
    </xf>
    <xf numFmtId="0" fontId="2" fillId="0" borderId="2" xfId="0" applyFont="1" applyFill="1" applyBorder="1" applyAlignment="1">
      <alignment vertical="top" wrapText="1"/>
    </xf>
    <xf numFmtId="0" fontId="1" fillId="2" borderId="1" xfId="0" applyFont="1" applyFill="1" applyBorder="1" applyAlignment="1">
      <alignment horizontal="center" vertical="center" wrapText="1"/>
    </xf>
    <xf numFmtId="9" fontId="1" fillId="2" borderId="1" xfId="5" applyFont="1" applyFill="1" applyBorder="1" applyAlignment="1">
      <alignment horizontal="center" vertical="center" wrapText="1"/>
    </xf>
    <xf numFmtId="0" fontId="7" fillId="0" borderId="1" xfId="0" applyFont="1" applyFill="1" applyBorder="1" applyAlignment="1">
      <alignment horizontal="center" vertical="top" wrapText="1"/>
    </xf>
    <xf numFmtId="0" fontId="2" fillId="0" borderId="0" xfId="0" applyFont="1" applyFill="1" applyBorder="1" applyAlignment="1">
      <alignment vertical="top"/>
    </xf>
    <xf numFmtId="9" fontId="1" fillId="0" borderId="1" xfId="5" applyFont="1" applyFill="1" applyBorder="1" applyAlignment="1">
      <alignment horizontal="center" vertical="center" wrapText="1"/>
    </xf>
    <xf numFmtId="164" fontId="1" fillId="0" borderId="1" xfId="0" quotePrefix="1"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164" fontId="1" fillId="0" borderId="1" xfId="0" quotePrefix="1" applyNumberFormat="1" applyFont="1" applyFill="1" applyBorder="1" applyAlignment="1">
      <alignment horizontal="center" vertical="center" wrapText="1"/>
    </xf>
  </cellXfs>
  <cellStyles count="6">
    <cellStyle name="Comma" xfId="1" builtinId="3"/>
    <cellStyle name="Comma 14" xfId="2"/>
    <cellStyle name="Comma 2" xfId="3"/>
    <cellStyle name="Normal" xfId="0" builtinId="0"/>
    <cellStyle name="Normal_Sheet8"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DA/AppData/Local/Temp/notesFCBCEE/Annex%20B%20&#8211;%20Listing%20of%20prioritized%20strategic%20CIPs_Jun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EDA/AppData/Local/Temp/notesFCBCEE/Updated%20Annex%20B%20and%20B-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EDA/Desktop/raqs/mtpip-mtpdp/PNoy_2010-2016/update-revalid/pip%20revalidation/agency%20submission/dar/ch4/apr24rev_Annex%20B%20(PIP%202013-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EDA/Desktop/raqs/mtpip-mtpdp/PNoy_2010-2016/Update-Revalidate_2013/pip%20revalidation/agency%20submission/da/annex%20b/addtl%20proj%20details/2017%20and%20beyon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EDA/AppData/Local/Temp/notesFCBCEE/wf-Annex%20B%20for%20Revalidated%20PIP_June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EDA/Desktop/raqs/fcp/riz_wf-Annex%20B_with%202017-beyon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 NEDA_List of CIPS_J28"/>
    </sheetNames>
    <sheetDataSet>
      <sheetData sheetId="0" refreshError="1">
        <row r="18">
          <cell r="Z18">
            <v>88178048</v>
          </cell>
          <cell r="AF18">
            <v>446418348</v>
          </cell>
          <cell r="AR18">
            <v>2506378802</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Updated Annex B CIPs"/>
      <sheetName val="B-1 Strategic CIPs"/>
    </sheetNames>
    <sheetDataSet>
      <sheetData sheetId="0">
        <row r="25">
          <cell r="AN25">
            <v>261579.99999999997</v>
          </cell>
          <cell r="AQ25">
            <v>586420.00000000012</v>
          </cell>
        </row>
        <row r="26">
          <cell r="Z26">
            <v>373412</v>
          </cell>
          <cell r="AC26">
            <v>1250000</v>
          </cell>
          <cell r="AG26">
            <v>404932</v>
          </cell>
          <cell r="AJ26">
            <v>1409001</v>
          </cell>
          <cell r="AN26">
            <v>312121</v>
          </cell>
          <cell r="AQ26">
            <v>906975</v>
          </cell>
        </row>
      </sheetData>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Prioritized Strategic Core"/>
    </sheetNames>
    <sheetDataSet>
      <sheetData sheetId="0" refreshError="1">
        <row r="24">
          <cell r="AG24">
            <v>385000</v>
          </cell>
          <cell r="AJ24">
            <v>550000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Prioritized Strategic Core"/>
      <sheetName val="Breakdown 2017 and beyond"/>
    </sheetNames>
    <sheetDataSet>
      <sheetData sheetId="0" refreshError="1"/>
      <sheetData sheetId="1">
        <row r="3">
          <cell r="DH3">
            <v>300000000</v>
          </cell>
          <cell r="DJ3">
            <v>300000000</v>
          </cell>
        </row>
        <row r="12">
          <cell r="DH12">
            <v>975130800</v>
          </cell>
          <cell r="DJ12">
            <v>30857400</v>
          </cell>
          <cell r="DK12">
            <v>114231600</v>
          </cell>
          <cell r="DL12">
            <v>928200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B-Prioritized Strategic Core"/>
      <sheetName val="Breakdown 2017 and beyond"/>
    </sheetNames>
    <sheetDataSet>
      <sheetData sheetId="0" refreshError="1"/>
      <sheetData sheetId="1">
        <row r="13">
          <cell r="DJ13">
            <v>2272000000</v>
          </cell>
          <cell r="DM13">
            <v>568000000</v>
          </cell>
          <cell r="DN13">
            <v>114800000</v>
          </cell>
        </row>
        <row r="14">
          <cell r="DJ14">
            <v>587370000</v>
          </cell>
          <cell r="DN14">
            <v>85350000</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B-Prioritized Strategic Core"/>
    </sheetNames>
    <sheetDataSet>
      <sheetData sheetId="0">
        <row r="28">
          <cell r="L28">
            <v>484590</v>
          </cell>
          <cell r="R28">
            <v>776570</v>
          </cell>
          <cell r="X28">
            <v>351510</v>
          </cell>
          <cell r="AD28">
            <v>326330</v>
          </cell>
        </row>
        <row r="36">
          <cell r="L36">
            <v>1621440</v>
          </cell>
          <cell r="X36">
            <v>5504960</v>
          </cell>
          <cell r="AD36">
            <v>5075240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A48"/>
  <sheetViews>
    <sheetView tabSelected="1" view="pageBreakPreview" topLeftCell="A7" zoomScale="90" zoomScaleNormal="62" zoomScaleSheetLayoutView="90" workbookViewId="0">
      <selection activeCell="C31" sqref="C31"/>
    </sheetView>
  </sheetViews>
  <sheetFormatPr defaultRowHeight="12.75"/>
  <cols>
    <col min="1" max="1" width="45.7109375" style="2" customWidth="1"/>
    <col min="2" max="2" width="10.7109375" style="17" customWidth="1"/>
    <col min="3" max="3" width="45.7109375" style="2" customWidth="1"/>
    <col min="4" max="4" width="15.7109375" style="2" customWidth="1"/>
    <col min="5" max="5" width="15.7109375" style="17" customWidth="1"/>
    <col min="6" max="6" width="10.7109375" style="18" customWidth="1"/>
    <col min="7" max="7" width="15.7109375" style="18" customWidth="1"/>
    <col min="8" max="8" width="23.7109375" style="18" customWidth="1"/>
    <col min="9" max="9" width="15.7109375" style="19" customWidth="1"/>
    <col min="10" max="40" width="20.7109375" style="22" customWidth="1"/>
    <col min="41" max="51" width="20.7109375" style="2" customWidth="1"/>
    <col min="52" max="16384" width="9.140625" style="2"/>
  </cols>
  <sheetData>
    <row r="1" spans="1:53" s="23" customFormat="1">
      <c r="A1" s="73" t="s">
        <v>152</v>
      </c>
      <c r="B1" s="73" t="s">
        <v>0</v>
      </c>
      <c r="C1" s="73" t="s">
        <v>153</v>
      </c>
      <c r="D1" s="73" t="s">
        <v>1</v>
      </c>
      <c r="E1" s="73"/>
      <c r="F1" s="73" t="s">
        <v>2</v>
      </c>
      <c r="G1" s="73" t="s">
        <v>3</v>
      </c>
      <c r="H1" s="73" t="s">
        <v>4</v>
      </c>
      <c r="I1" s="75" t="s">
        <v>164</v>
      </c>
      <c r="J1" s="72" t="s">
        <v>156</v>
      </c>
      <c r="K1" s="72"/>
      <c r="L1" s="72"/>
      <c r="M1" s="72"/>
      <c r="N1" s="72"/>
      <c r="O1" s="72"/>
      <c r="P1" s="72" t="s">
        <v>156</v>
      </c>
      <c r="Q1" s="72"/>
      <c r="R1" s="72"/>
      <c r="S1" s="72"/>
      <c r="T1" s="72"/>
      <c r="U1" s="72"/>
      <c r="V1" s="72" t="s">
        <v>156</v>
      </c>
      <c r="W1" s="72"/>
      <c r="X1" s="72"/>
      <c r="Y1" s="72"/>
      <c r="Z1" s="72"/>
      <c r="AA1" s="72"/>
      <c r="AB1" s="72" t="s">
        <v>156</v>
      </c>
      <c r="AC1" s="72"/>
      <c r="AD1" s="72"/>
      <c r="AE1" s="72"/>
      <c r="AF1" s="72"/>
      <c r="AG1" s="72"/>
      <c r="AH1" s="72" t="s">
        <v>156</v>
      </c>
      <c r="AI1" s="72"/>
      <c r="AJ1" s="72"/>
      <c r="AK1" s="72"/>
      <c r="AL1" s="72"/>
      <c r="AM1" s="72"/>
      <c r="AN1" s="74" t="s">
        <v>156</v>
      </c>
      <c r="AO1" s="74"/>
      <c r="AP1" s="74"/>
      <c r="AQ1" s="74"/>
      <c r="AR1" s="74"/>
      <c r="AS1" s="74"/>
      <c r="AT1" s="74" t="s">
        <v>156</v>
      </c>
      <c r="AU1" s="74"/>
      <c r="AV1" s="74"/>
      <c r="AW1" s="74"/>
      <c r="AX1" s="74"/>
      <c r="AY1" s="74"/>
    </row>
    <row r="2" spans="1:53" s="32" customFormat="1" ht="29.25" customHeight="1">
      <c r="A2" s="73"/>
      <c r="B2" s="73"/>
      <c r="C2" s="74"/>
      <c r="D2" s="70" t="s">
        <v>154</v>
      </c>
      <c r="E2" s="70" t="s">
        <v>5</v>
      </c>
      <c r="F2" s="73"/>
      <c r="G2" s="73"/>
      <c r="H2" s="73"/>
      <c r="I2" s="75"/>
      <c r="J2" s="71" t="s">
        <v>6</v>
      </c>
      <c r="K2" s="72"/>
      <c r="L2" s="72"/>
      <c r="M2" s="72"/>
      <c r="N2" s="72"/>
      <c r="O2" s="72"/>
      <c r="P2" s="71" t="s">
        <v>7</v>
      </c>
      <c r="Q2" s="72"/>
      <c r="R2" s="72"/>
      <c r="S2" s="72"/>
      <c r="T2" s="72"/>
      <c r="U2" s="72"/>
      <c r="V2" s="71" t="s">
        <v>8</v>
      </c>
      <c r="W2" s="72"/>
      <c r="X2" s="72"/>
      <c r="Y2" s="72"/>
      <c r="Z2" s="72"/>
      <c r="AA2" s="72"/>
      <c r="AB2" s="71" t="s">
        <v>9</v>
      </c>
      <c r="AC2" s="72"/>
      <c r="AD2" s="72"/>
      <c r="AE2" s="72"/>
      <c r="AF2" s="72"/>
      <c r="AG2" s="72"/>
      <c r="AH2" s="76" t="s">
        <v>116</v>
      </c>
      <c r="AI2" s="71"/>
      <c r="AJ2" s="71"/>
      <c r="AK2" s="71"/>
      <c r="AL2" s="71"/>
      <c r="AM2" s="71"/>
      <c r="AN2" s="73" t="s">
        <v>142</v>
      </c>
      <c r="AO2" s="73"/>
      <c r="AP2" s="73"/>
      <c r="AQ2" s="73"/>
      <c r="AR2" s="73"/>
      <c r="AS2" s="73"/>
      <c r="AT2" s="73" t="s">
        <v>143</v>
      </c>
      <c r="AU2" s="74"/>
      <c r="AV2" s="74"/>
      <c r="AW2" s="74"/>
      <c r="AX2" s="74"/>
      <c r="AY2" s="74"/>
    </row>
    <row r="3" spans="1:53" s="23" customFormat="1">
      <c r="A3" s="73"/>
      <c r="B3" s="73"/>
      <c r="C3" s="74"/>
      <c r="D3" s="70"/>
      <c r="E3" s="70"/>
      <c r="F3" s="73"/>
      <c r="G3" s="73"/>
      <c r="H3" s="73"/>
      <c r="I3" s="75"/>
      <c r="J3" s="61" t="s">
        <v>10</v>
      </c>
      <c r="K3" s="61" t="s">
        <v>11</v>
      </c>
      <c r="L3" s="61" t="s">
        <v>155</v>
      </c>
      <c r="M3" s="61" t="s">
        <v>12</v>
      </c>
      <c r="N3" s="61" t="s">
        <v>13</v>
      </c>
      <c r="O3" s="61" t="s">
        <v>14</v>
      </c>
      <c r="P3" s="61" t="s">
        <v>10</v>
      </c>
      <c r="Q3" s="61" t="s">
        <v>11</v>
      </c>
      <c r="R3" s="61" t="s">
        <v>155</v>
      </c>
      <c r="S3" s="61" t="s">
        <v>12</v>
      </c>
      <c r="T3" s="61" t="s">
        <v>13</v>
      </c>
      <c r="U3" s="61" t="s">
        <v>14</v>
      </c>
      <c r="V3" s="61" t="s">
        <v>10</v>
      </c>
      <c r="W3" s="61" t="s">
        <v>11</v>
      </c>
      <c r="X3" s="61" t="s">
        <v>155</v>
      </c>
      <c r="Y3" s="61" t="s">
        <v>12</v>
      </c>
      <c r="Z3" s="61" t="s">
        <v>13</v>
      </c>
      <c r="AA3" s="61" t="s">
        <v>14</v>
      </c>
      <c r="AB3" s="61" t="s">
        <v>10</v>
      </c>
      <c r="AC3" s="61" t="s">
        <v>11</v>
      </c>
      <c r="AD3" s="61" t="s">
        <v>155</v>
      </c>
      <c r="AE3" s="61" t="s">
        <v>12</v>
      </c>
      <c r="AF3" s="61" t="s">
        <v>13</v>
      </c>
      <c r="AG3" s="61" t="s">
        <v>14</v>
      </c>
      <c r="AH3" s="61" t="s">
        <v>10</v>
      </c>
      <c r="AI3" s="61" t="s">
        <v>11</v>
      </c>
      <c r="AJ3" s="61" t="s">
        <v>155</v>
      </c>
      <c r="AK3" s="61" t="s">
        <v>12</v>
      </c>
      <c r="AL3" s="61" t="s">
        <v>13</v>
      </c>
      <c r="AM3" s="61" t="s">
        <v>14</v>
      </c>
      <c r="AN3" s="61" t="s">
        <v>10</v>
      </c>
      <c r="AO3" s="61" t="s">
        <v>11</v>
      </c>
      <c r="AP3" s="61" t="s">
        <v>155</v>
      </c>
      <c r="AQ3" s="61" t="s">
        <v>12</v>
      </c>
      <c r="AR3" s="61" t="s">
        <v>13</v>
      </c>
      <c r="AS3" s="61" t="s">
        <v>14</v>
      </c>
      <c r="AT3" s="61" t="s">
        <v>10</v>
      </c>
      <c r="AU3" s="61" t="s">
        <v>11</v>
      </c>
      <c r="AV3" s="61" t="s">
        <v>155</v>
      </c>
      <c r="AW3" s="61" t="s">
        <v>12</v>
      </c>
      <c r="AX3" s="61" t="s">
        <v>13</v>
      </c>
      <c r="AY3" s="61" t="s">
        <v>14</v>
      </c>
    </row>
    <row r="4" spans="1:53" s="33" customFormat="1" ht="15" customHeight="1">
      <c r="A4" s="6" t="s">
        <v>15</v>
      </c>
      <c r="B4" s="7" t="s">
        <v>16</v>
      </c>
      <c r="C4" s="59" t="s">
        <v>17</v>
      </c>
      <c r="D4" s="67" t="s">
        <v>159</v>
      </c>
      <c r="E4" s="66" t="s">
        <v>18</v>
      </c>
      <c r="F4" s="66" t="s">
        <v>19</v>
      </c>
      <c r="G4" s="66" t="s">
        <v>20</v>
      </c>
      <c r="H4" s="66" t="s">
        <v>21</v>
      </c>
      <c r="I4" s="57" t="s">
        <v>22</v>
      </c>
      <c r="J4" s="57" t="s">
        <v>23</v>
      </c>
      <c r="K4" s="57" t="s">
        <v>24</v>
      </c>
      <c r="L4" s="57" t="s">
        <v>25</v>
      </c>
      <c r="M4" s="57" t="s">
        <v>26</v>
      </c>
      <c r="N4" s="57" t="s">
        <v>27</v>
      </c>
      <c r="O4" s="57" t="s">
        <v>28</v>
      </c>
      <c r="P4" s="57" t="s">
        <v>29</v>
      </c>
      <c r="Q4" s="57" t="s">
        <v>30</v>
      </c>
      <c r="R4" s="57" t="s">
        <v>31</v>
      </c>
      <c r="S4" s="57" t="s">
        <v>32</v>
      </c>
      <c r="T4" s="57" t="s">
        <v>33</v>
      </c>
      <c r="U4" s="57" t="s">
        <v>34</v>
      </c>
      <c r="V4" s="57" t="s">
        <v>35</v>
      </c>
      <c r="W4" s="57" t="s">
        <v>36</v>
      </c>
      <c r="X4" s="57" t="s">
        <v>37</v>
      </c>
      <c r="Y4" s="57" t="s">
        <v>38</v>
      </c>
      <c r="Z4" s="57" t="s">
        <v>39</v>
      </c>
      <c r="AA4" s="57" t="s">
        <v>40</v>
      </c>
      <c r="AB4" s="57" t="s">
        <v>41</v>
      </c>
      <c r="AC4" s="57" t="s">
        <v>42</v>
      </c>
      <c r="AD4" s="57" t="s">
        <v>43</v>
      </c>
      <c r="AE4" s="57" t="s">
        <v>44</v>
      </c>
      <c r="AF4" s="57" t="s">
        <v>45</v>
      </c>
      <c r="AG4" s="57" t="s">
        <v>46</v>
      </c>
      <c r="AH4" s="57" t="s">
        <v>47</v>
      </c>
      <c r="AI4" s="59" t="s">
        <v>146</v>
      </c>
      <c r="AJ4" s="59" t="s">
        <v>147</v>
      </c>
      <c r="AK4" s="59" t="s">
        <v>148</v>
      </c>
      <c r="AL4" s="59" t="s">
        <v>149</v>
      </c>
      <c r="AM4" s="59" t="s">
        <v>150</v>
      </c>
      <c r="AN4" s="59" t="s">
        <v>151</v>
      </c>
      <c r="AO4" s="59" t="s">
        <v>84</v>
      </c>
      <c r="AP4" s="59" t="s">
        <v>85</v>
      </c>
      <c r="AQ4" s="59" t="s">
        <v>86</v>
      </c>
      <c r="AR4" s="59" t="s">
        <v>87</v>
      </c>
      <c r="AS4" s="59" t="s">
        <v>88</v>
      </c>
      <c r="AT4" s="59" t="s">
        <v>89</v>
      </c>
      <c r="AU4" s="59" t="s">
        <v>117</v>
      </c>
      <c r="AV4" s="59" t="s">
        <v>118</v>
      </c>
      <c r="AW4" s="59" t="s">
        <v>119</v>
      </c>
      <c r="AX4" s="59" t="s">
        <v>120</v>
      </c>
      <c r="AY4" s="62" t="s">
        <v>157</v>
      </c>
      <c r="AZ4" s="58"/>
      <c r="BA4" s="58"/>
    </row>
    <row r="5" spans="1:53" s="23" customFormat="1" ht="25.5">
      <c r="A5" s="1" t="s">
        <v>127</v>
      </c>
      <c r="B5" s="9"/>
      <c r="C5" s="10"/>
      <c r="D5" s="11"/>
      <c r="E5" s="12"/>
      <c r="F5" s="13"/>
      <c r="G5" s="13"/>
      <c r="H5" s="13"/>
      <c r="I5" s="5"/>
      <c r="J5" s="39"/>
      <c r="K5" s="39"/>
      <c r="L5" s="39"/>
      <c r="M5" s="39"/>
      <c r="N5" s="39"/>
      <c r="O5" s="39"/>
      <c r="P5" s="39"/>
      <c r="Q5" s="39"/>
      <c r="R5" s="39"/>
      <c r="S5" s="40"/>
      <c r="T5" s="39"/>
      <c r="U5" s="39"/>
      <c r="V5" s="39"/>
      <c r="W5" s="39"/>
      <c r="X5" s="39"/>
      <c r="Y5" s="39"/>
      <c r="Z5" s="39"/>
      <c r="AA5" s="39"/>
      <c r="AB5" s="39"/>
      <c r="AC5" s="39"/>
      <c r="AD5" s="39"/>
      <c r="AE5" s="39"/>
      <c r="AF5" s="39"/>
      <c r="AG5" s="39"/>
      <c r="AH5" s="39"/>
      <c r="AI5" s="39"/>
      <c r="AJ5" s="39"/>
      <c r="AK5" s="39"/>
      <c r="AL5" s="39"/>
      <c r="AM5" s="39"/>
      <c r="AN5" s="39"/>
      <c r="AO5" s="41"/>
      <c r="AP5" s="41"/>
      <c r="AQ5" s="41"/>
      <c r="AR5" s="41"/>
      <c r="AS5" s="41"/>
      <c r="AT5" s="41"/>
      <c r="AU5" s="41"/>
      <c r="AV5" s="41"/>
      <c r="AW5" s="41"/>
      <c r="AX5" s="41"/>
      <c r="AY5" s="41"/>
    </row>
    <row r="6" spans="1:53" ht="25.5">
      <c r="A6" s="3" t="s">
        <v>128</v>
      </c>
      <c r="B6" s="14"/>
      <c r="C6" s="15"/>
      <c r="D6" s="15"/>
      <c r="E6" s="14"/>
      <c r="F6" s="16"/>
      <c r="G6" s="16"/>
      <c r="H6" s="16"/>
      <c r="I6" s="5"/>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42"/>
      <c r="AP6" s="42"/>
      <c r="AQ6" s="42"/>
      <c r="AR6" s="42"/>
      <c r="AS6" s="42"/>
      <c r="AT6" s="42"/>
      <c r="AU6" s="42"/>
      <c r="AV6" s="42"/>
      <c r="AW6" s="42"/>
      <c r="AX6" s="42"/>
      <c r="AY6" s="42"/>
    </row>
    <row r="7" spans="1:53" ht="38.25">
      <c r="A7" s="1" t="s">
        <v>129</v>
      </c>
      <c r="B7" s="14"/>
      <c r="C7" s="15"/>
      <c r="D7" s="15"/>
      <c r="E7" s="14"/>
      <c r="F7" s="16"/>
      <c r="G7" s="16"/>
      <c r="H7" s="16"/>
      <c r="I7" s="5"/>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42"/>
      <c r="AP7" s="42"/>
      <c r="AQ7" s="42"/>
      <c r="AR7" s="42"/>
      <c r="AS7" s="42"/>
      <c r="AT7" s="42"/>
      <c r="AU7" s="42"/>
      <c r="AV7" s="42"/>
      <c r="AW7" s="42"/>
      <c r="AX7" s="42"/>
      <c r="AY7" s="42"/>
    </row>
    <row r="8" spans="1:53">
      <c r="A8" s="1" t="s">
        <v>91</v>
      </c>
      <c r="B8" s="5"/>
      <c r="C8" s="27"/>
      <c r="D8" s="5"/>
      <c r="E8" s="5"/>
      <c r="F8" s="5"/>
      <c r="G8" s="5"/>
      <c r="H8" s="1"/>
      <c r="I8" s="5"/>
      <c r="J8" s="43"/>
      <c r="K8" s="43"/>
      <c r="L8" s="43"/>
      <c r="M8" s="43"/>
      <c r="N8" s="43"/>
      <c r="O8" s="40"/>
      <c r="P8" s="43"/>
      <c r="Q8" s="43"/>
      <c r="R8" s="43"/>
      <c r="S8" s="43"/>
      <c r="T8" s="43"/>
      <c r="U8" s="43"/>
      <c r="V8" s="43"/>
      <c r="W8" s="43"/>
      <c r="X8" s="43"/>
      <c r="Y8" s="43"/>
      <c r="Z8" s="43"/>
      <c r="AA8" s="43"/>
      <c r="AB8" s="43"/>
      <c r="AC8" s="43"/>
      <c r="AD8" s="43"/>
      <c r="AE8" s="43"/>
      <c r="AF8" s="43"/>
      <c r="AG8" s="40"/>
      <c r="AH8" s="43"/>
      <c r="AI8" s="43"/>
      <c r="AJ8" s="43"/>
      <c r="AK8" s="43"/>
      <c r="AL8" s="43"/>
      <c r="AM8" s="43"/>
      <c r="AN8" s="43"/>
      <c r="AO8" s="42"/>
      <c r="AP8" s="42"/>
      <c r="AQ8" s="42"/>
      <c r="AR8" s="42"/>
      <c r="AS8" s="42"/>
      <c r="AT8" s="42"/>
      <c r="AU8" s="42"/>
      <c r="AV8" s="42"/>
      <c r="AW8" s="42"/>
      <c r="AX8" s="42"/>
      <c r="AY8" s="42"/>
    </row>
    <row r="9" spans="1:53" ht="140.25">
      <c r="A9" s="1" t="s">
        <v>110</v>
      </c>
      <c r="B9" s="5" t="s">
        <v>78</v>
      </c>
      <c r="C9" s="1" t="s">
        <v>68</v>
      </c>
      <c r="D9" s="5" t="s">
        <v>53</v>
      </c>
      <c r="E9" s="5" t="s">
        <v>61</v>
      </c>
      <c r="F9" s="5">
        <v>4</v>
      </c>
      <c r="G9" s="5">
        <v>7</v>
      </c>
      <c r="H9" s="1" t="s">
        <v>132</v>
      </c>
      <c r="I9" s="5" t="s">
        <v>54</v>
      </c>
      <c r="J9" s="43"/>
      <c r="K9" s="43"/>
      <c r="L9" s="43"/>
      <c r="M9" s="43"/>
      <c r="N9" s="43"/>
      <c r="O9" s="40"/>
      <c r="P9" s="43"/>
      <c r="Q9" s="43"/>
      <c r="R9" s="43"/>
      <c r="S9" s="44"/>
      <c r="T9" s="43"/>
      <c r="U9" s="40"/>
      <c r="V9" s="43"/>
      <c r="W9" s="43"/>
      <c r="X9" s="43"/>
      <c r="Y9" s="44"/>
      <c r="Z9" s="43"/>
      <c r="AA9" s="40"/>
      <c r="AB9" s="43"/>
      <c r="AC9" s="43"/>
      <c r="AD9" s="43"/>
      <c r="AE9" s="44"/>
      <c r="AF9" s="43"/>
      <c r="AG9" s="40"/>
      <c r="AH9" s="43"/>
      <c r="AI9" s="43"/>
      <c r="AJ9" s="43"/>
      <c r="AK9" s="43"/>
      <c r="AL9" s="43"/>
      <c r="AM9" s="40"/>
      <c r="AN9" s="40"/>
      <c r="AO9" s="42"/>
      <c r="AP9" s="42"/>
      <c r="AQ9" s="42"/>
      <c r="AR9" s="42"/>
      <c r="AS9" s="45"/>
      <c r="AT9" s="42"/>
      <c r="AU9" s="42"/>
      <c r="AV9" s="42"/>
      <c r="AW9" s="42"/>
      <c r="AX9" s="42"/>
      <c r="AY9" s="42"/>
    </row>
    <row r="10" spans="1:53" ht="25.5">
      <c r="A10" s="1" t="s">
        <v>92</v>
      </c>
      <c r="B10" s="14"/>
      <c r="C10" s="16"/>
      <c r="D10" s="16"/>
      <c r="E10" s="14"/>
      <c r="F10" s="16"/>
      <c r="G10" s="16"/>
      <c r="H10" s="16"/>
      <c r="I10" s="5"/>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42"/>
      <c r="AP10" s="42"/>
      <c r="AQ10" s="42"/>
      <c r="AR10" s="42"/>
      <c r="AS10" s="45"/>
      <c r="AT10" s="42"/>
      <c r="AU10" s="42"/>
      <c r="AV10" s="42"/>
      <c r="AW10" s="42"/>
      <c r="AX10" s="42"/>
      <c r="AY10" s="42"/>
    </row>
    <row r="11" spans="1:53" ht="189.75" customHeight="1">
      <c r="A11" s="1" t="s">
        <v>136</v>
      </c>
      <c r="B11" s="5" t="s">
        <v>78</v>
      </c>
      <c r="C11" s="1" t="s">
        <v>74</v>
      </c>
      <c r="D11" s="5" t="s">
        <v>49</v>
      </c>
      <c r="E11" s="5" t="s">
        <v>57</v>
      </c>
      <c r="F11" s="5">
        <v>4</v>
      </c>
      <c r="G11" s="5" t="s">
        <v>64</v>
      </c>
      <c r="H11" s="1" t="s">
        <v>132</v>
      </c>
      <c r="I11" s="68" t="s">
        <v>158</v>
      </c>
      <c r="J11" s="43">
        <v>0</v>
      </c>
      <c r="K11" s="43">
        <v>0</v>
      </c>
      <c r="L11" s="43">
        <v>0</v>
      </c>
      <c r="M11" s="43">
        <v>0</v>
      </c>
      <c r="N11" s="43">
        <v>0</v>
      </c>
      <c r="O11" s="40">
        <f>J11+K11+L11+M11+N11</f>
        <v>0</v>
      </c>
      <c r="P11" s="43">
        <f>2305890000/1000</f>
        <v>2305890</v>
      </c>
      <c r="Q11" s="43">
        <v>0</v>
      </c>
      <c r="R11" s="43">
        <v>0</v>
      </c>
      <c r="S11" s="43">
        <v>0</v>
      </c>
      <c r="T11" s="43">
        <v>0</v>
      </c>
      <c r="U11" s="40">
        <f>P11+Q11+R11+S11+T11</f>
        <v>2305890</v>
      </c>
      <c r="V11" s="43">
        <v>0</v>
      </c>
      <c r="W11" s="43">
        <v>0</v>
      </c>
      <c r="X11" s="43">
        <v>0</v>
      </c>
      <c r="Y11" s="43">
        <v>0</v>
      </c>
      <c r="Z11" s="43">
        <v>0</v>
      </c>
      <c r="AA11" s="40">
        <f>V11+W11+X11+Y11+Z11</f>
        <v>0</v>
      </c>
      <c r="AB11" s="43">
        <v>0</v>
      </c>
      <c r="AC11" s="43">
        <v>0</v>
      </c>
      <c r="AD11" s="43">
        <v>0</v>
      </c>
      <c r="AE11" s="43">
        <v>0</v>
      </c>
      <c r="AF11" s="43">
        <v>0</v>
      </c>
      <c r="AG11" s="40">
        <f>AB11+AC11+AD11+AE11+AF11</f>
        <v>0</v>
      </c>
      <c r="AH11" s="43">
        <f>SUM(J11,P11,V11)</f>
        <v>2305890</v>
      </c>
      <c r="AI11" s="43">
        <v>0</v>
      </c>
      <c r="AJ11" s="43">
        <f>SUM(K11,Q11,W11)</f>
        <v>0</v>
      </c>
      <c r="AK11" s="43">
        <f>SUM(L11,R11,X11)</f>
        <v>0</v>
      </c>
      <c r="AL11" s="43">
        <f>SUM(M11,S11,Y11)</f>
        <v>0</v>
      </c>
      <c r="AM11" s="43">
        <f>AH11+AI11+AJ11+AK11+AL11</f>
        <v>2305890</v>
      </c>
      <c r="AN11" s="43">
        <v>0</v>
      </c>
      <c r="AO11" s="42"/>
      <c r="AP11" s="42"/>
      <c r="AQ11" s="42"/>
      <c r="AR11" s="42"/>
      <c r="AS11" s="45">
        <f>AN11+AO11+AP11+AQ11+AR11</f>
        <v>0</v>
      </c>
      <c r="AT11" s="45">
        <f>AH11</f>
        <v>2305890</v>
      </c>
      <c r="AU11" s="42"/>
      <c r="AV11" s="42"/>
      <c r="AW11" s="42"/>
      <c r="AX11" s="42"/>
      <c r="AY11" s="45">
        <f>AT11+AU11+AV11+AW11+AX11</f>
        <v>2305890</v>
      </c>
    </row>
    <row r="12" spans="1:53" ht="102">
      <c r="A12" s="1" t="s">
        <v>67</v>
      </c>
      <c r="B12" s="5" t="s">
        <v>78</v>
      </c>
      <c r="C12" s="1" t="s">
        <v>70</v>
      </c>
      <c r="D12" s="5" t="s">
        <v>53</v>
      </c>
      <c r="E12" s="5" t="s">
        <v>63</v>
      </c>
      <c r="F12" s="5">
        <v>4</v>
      </c>
      <c r="G12" s="5" t="s">
        <v>64</v>
      </c>
      <c r="H12" s="1" t="s">
        <v>132</v>
      </c>
      <c r="I12" s="5" t="s">
        <v>126</v>
      </c>
      <c r="J12" s="43">
        <v>0</v>
      </c>
      <c r="K12" s="43">
        <v>0</v>
      </c>
      <c r="L12" s="43">
        <v>0</v>
      </c>
      <c r="M12" s="43">
        <v>0</v>
      </c>
      <c r="N12" s="43">
        <v>0</v>
      </c>
      <c r="O12" s="40">
        <f>J12+K12+L12+M12+N12</f>
        <v>0</v>
      </c>
      <c r="P12" s="43">
        <v>0</v>
      </c>
      <c r="Q12" s="43">
        <v>0</v>
      </c>
      <c r="R12" s="43">
        <v>0</v>
      </c>
      <c r="S12" s="43">
        <v>0</v>
      </c>
      <c r="T12" s="43">
        <v>0</v>
      </c>
      <c r="U12" s="43">
        <v>0</v>
      </c>
      <c r="V12" s="43">
        <f>'[1]For NEDA_List of CIPS_J28'!$Z$18/1000</f>
        <v>88178.047999999995</v>
      </c>
      <c r="W12" s="43">
        <v>0</v>
      </c>
      <c r="X12" s="43">
        <v>0</v>
      </c>
      <c r="Y12" s="43">
        <v>0</v>
      </c>
      <c r="Z12" s="43">
        <v>0</v>
      </c>
      <c r="AA12" s="43">
        <f>V12+W12+X12+Y12+Z12</f>
        <v>88178.047999999995</v>
      </c>
      <c r="AB12" s="43">
        <f>'[1]For NEDA_List of CIPS_J28'!$AF$18/1000</f>
        <v>446418.348</v>
      </c>
      <c r="AC12" s="43">
        <v>0</v>
      </c>
      <c r="AD12" s="43">
        <v>0</v>
      </c>
      <c r="AE12" s="43">
        <v>0</v>
      </c>
      <c r="AF12" s="43">
        <v>0</v>
      </c>
      <c r="AG12" s="40">
        <f>AB12+AC12+AD12+AE12+AF12</f>
        <v>446418.348</v>
      </c>
      <c r="AH12" s="43">
        <f>V12+AB12</f>
        <v>534596.39599999995</v>
      </c>
      <c r="AI12" s="43">
        <v>0</v>
      </c>
      <c r="AJ12" s="43">
        <v>0</v>
      </c>
      <c r="AK12" s="43">
        <v>0</v>
      </c>
      <c r="AL12" s="43">
        <v>0</v>
      </c>
      <c r="AM12" s="43">
        <f>AH12+AI12+AJ12+AK12+AL12</f>
        <v>534596.39599999995</v>
      </c>
      <c r="AN12" s="43">
        <f>'[1]For NEDA_List of CIPS_J28'!$AR$18/1000</f>
        <v>2506378.8020000001</v>
      </c>
      <c r="AO12" s="42"/>
      <c r="AP12" s="42"/>
      <c r="AQ12" s="42"/>
      <c r="AR12" s="42"/>
      <c r="AS12" s="45">
        <f>AN12+AO12+AP12+AQ12+AR12</f>
        <v>2506378.8020000001</v>
      </c>
      <c r="AT12" s="45">
        <f>AH12+AN12</f>
        <v>3040975.1979999999</v>
      </c>
      <c r="AU12" s="42"/>
      <c r="AV12" s="42"/>
      <c r="AW12" s="42"/>
      <c r="AX12" s="42"/>
      <c r="AY12" s="45">
        <f>AT12+AU12+AV12+AW12+AX12</f>
        <v>3040975.1979999999</v>
      </c>
    </row>
    <row r="13" spans="1:53" ht="25.5">
      <c r="A13" s="1" t="s">
        <v>130</v>
      </c>
      <c r="B13" s="5"/>
      <c r="C13" s="1"/>
      <c r="D13" s="5"/>
      <c r="E13" s="5"/>
      <c r="F13" s="5"/>
      <c r="G13" s="5"/>
      <c r="H13" s="1"/>
      <c r="I13" s="5"/>
      <c r="J13" s="43"/>
      <c r="K13" s="43"/>
      <c r="L13" s="43"/>
      <c r="M13" s="43"/>
      <c r="N13" s="43"/>
      <c r="O13" s="40"/>
      <c r="P13" s="43"/>
      <c r="Q13" s="43"/>
      <c r="R13" s="43"/>
      <c r="S13" s="44"/>
      <c r="T13" s="43"/>
      <c r="U13" s="40"/>
      <c r="V13" s="43"/>
      <c r="W13" s="43"/>
      <c r="X13" s="43"/>
      <c r="Y13" s="44"/>
      <c r="Z13" s="43"/>
      <c r="AA13" s="40"/>
      <c r="AB13" s="43"/>
      <c r="AC13" s="43"/>
      <c r="AD13" s="43"/>
      <c r="AE13" s="44"/>
      <c r="AF13" s="43"/>
      <c r="AG13" s="40"/>
      <c r="AH13" s="43"/>
      <c r="AI13" s="43"/>
      <c r="AJ13" s="43"/>
      <c r="AK13" s="43"/>
      <c r="AL13" s="43"/>
      <c r="AM13" s="40"/>
      <c r="AN13" s="40"/>
      <c r="AO13" s="42"/>
      <c r="AP13" s="42"/>
      <c r="AQ13" s="42"/>
      <c r="AR13" s="42"/>
      <c r="AS13" s="45"/>
      <c r="AT13" s="42"/>
      <c r="AU13" s="42"/>
      <c r="AV13" s="42"/>
      <c r="AW13" s="42"/>
      <c r="AX13" s="42"/>
      <c r="AY13" s="42"/>
    </row>
    <row r="14" spans="1:53" s="31" customFormat="1" ht="89.25">
      <c r="A14" s="1" t="s">
        <v>145</v>
      </c>
      <c r="B14" s="4" t="s">
        <v>80</v>
      </c>
      <c r="C14" s="1" t="s">
        <v>98</v>
      </c>
      <c r="D14" s="4" t="s">
        <v>82</v>
      </c>
      <c r="E14" s="5" t="s">
        <v>81</v>
      </c>
      <c r="F14" s="4" t="s">
        <v>99</v>
      </c>
      <c r="G14" s="4" t="s">
        <v>100</v>
      </c>
      <c r="H14" s="1" t="s">
        <v>162</v>
      </c>
      <c r="I14" s="5" t="s">
        <v>124</v>
      </c>
      <c r="J14" s="46">
        <v>98030</v>
      </c>
      <c r="K14" s="47">
        <v>0</v>
      </c>
      <c r="L14" s="47">
        <v>0</v>
      </c>
      <c r="M14" s="46">
        <v>16660</v>
      </c>
      <c r="N14" s="47">
        <v>0</v>
      </c>
      <c r="O14" s="46">
        <f>J14+K14+L14+M14+N14</f>
        <v>114690</v>
      </c>
      <c r="P14" s="47">
        <v>201590</v>
      </c>
      <c r="Q14" s="47">
        <v>0</v>
      </c>
      <c r="R14" s="47">
        <v>0</v>
      </c>
      <c r="S14" s="46">
        <v>16080</v>
      </c>
      <c r="T14" s="47">
        <v>0</v>
      </c>
      <c r="U14" s="46">
        <f>P14+Q14+R14+S14+T14</f>
        <v>217670</v>
      </c>
      <c r="V14" s="47">
        <v>373780</v>
      </c>
      <c r="W14" s="47">
        <v>0</v>
      </c>
      <c r="X14" s="47">
        <v>0</v>
      </c>
      <c r="Y14" s="44">
        <v>1630</v>
      </c>
      <c r="Z14" s="47">
        <v>0</v>
      </c>
      <c r="AA14" s="46">
        <f>V14+W14+X14+Y14+Z14</f>
        <v>375410</v>
      </c>
      <c r="AB14" s="47">
        <v>480170</v>
      </c>
      <c r="AC14" s="47">
        <v>0</v>
      </c>
      <c r="AD14" s="47">
        <v>0</v>
      </c>
      <c r="AE14" s="44">
        <v>0.71</v>
      </c>
      <c r="AF14" s="47"/>
      <c r="AG14" s="46">
        <f>AB14+AC14+AD14+AE14+AF14</f>
        <v>480170.71</v>
      </c>
      <c r="AH14" s="47">
        <f t="shared" ref="AH14:AM14" si="0">J14+P14+V14+AB14</f>
        <v>1153570</v>
      </c>
      <c r="AI14" s="47">
        <f t="shared" si="0"/>
        <v>0</v>
      </c>
      <c r="AJ14" s="47">
        <f t="shared" si="0"/>
        <v>0</v>
      </c>
      <c r="AK14" s="47">
        <f t="shared" si="0"/>
        <v>34370.71</v>
      </c>
      <c r="AL14" s="47">
        <f t="shared" si="0"/>
        <v>0</v>
      </c>
      <c r="AM14" s="47">
        <f t="shared" si="0"/>
        <v>1187940.71</v>
      </c>
      <c r="AN14" s="47">
        <f>'[2]Updated Annex B CIPs'!$AN$25+'[2]Updated Annex B CIPs'!$AQ$25</f>
        <v>848000.00000000012</v>
      </c>
      <c r="AO14" s="48"/>
      <c r="AP14" s="48"/>
      <c r="AQ14" s="48"/>
      <c r="AR14" s="48"/>
      <c r="AS14" s="48">
        <f>AN14+AO14+AP14+AQ14+AR14</f>
        <v>848000.00000000012</v>
      </c>
      <c r="AT14" s="48">
        <f>AH14+AN14</f>
        <v>2001570</v>
      </c>
      <c r="AU14" s="48">
        <f>AJ14+AP14</f>
        <v>0</v>
      </c>
      <c r="AV14" s="48">
        <f>AJ14+AP14</f>
        <v>0</v>
      </c>
      <c r="AW14" s="48">
        <f>AK14+AQ14</f>
        <v>34370.71</v>
      </c>
      <c r="AX14" s="48">
        <f>AL14+AR14</f>
        <v>0</v>
      </c>
      <c r="AY14" s="48">
        <f>AT14+AU14+AV14+AW14+AX14</f>
        <v>2035940.71</v>
      </c>
    </row>
    <row r="15" spans="1:53" ht="76.5">
      <c r="A15" s="1" t="s">
        <v>79</v>
      </c>
      <c r="B15" s="4" t="s">
        <v>80</v>
      </c>
      <c r="C15" s="1" t="s">
        <v>101</v>
      </c>
      <c r="D15" s="4" t="s">
        <v>82</v>
      </c>
      <c r="E15" s="5" t="s">
        <v>144</v>
      </c>
      <c r="F15" s="4" t="s">
        <v>99</v>
      </c>
      <c r="G15" s="4" t="s">
        <v>100</v>
      </c>
      <c r="H15" s="1" t="s">
        <v>133</v>
      </c>
      <c r="I15" s="5">
        <v>2013</v>
      </c>
      <c r="J15" s="49">
        <v>0</v>
      </c>
      <c r="K15" s="47">
        <v>0</v>
      </c>
      <c r="L15" s="47">
        <v>0</v>
      </c>
      <c r="M15" s="47">
        <v>0</v>
      </c>
      <c r="N15" s="47">
        <v>0</v>
      </c>
      <c r="O15" s="46">
        <f>J15+K15+L15+M15+N15</f>
        <v>0</v>
      </c>
      <c r="P15" s="49">
        <v>600000</v>
      </c>
      <c r="Q15" s="47">
        <v>0</v>
      </c>
      <c r="R15" s="47">
        <v>0</v>
      </c>
      <c r="S15" s="46">
        <v>0</v>
      </c>
      <c r="T15" s="47">
        <v>0</v>
      </c>
      <c r="U15" s="46">
        <f>P15+Q15+R15+S15+T15</f>
        <v>600000</v>
      </c>
      <c r="V15" s="49">
        <f>'[2]Updated Annex B CIPs'!$Z$26+'[2]Updated Annex B CIPs'!$AC$26</f>
        <v>1623412</v>
      </c>
      <c r="W15" s="47">
        <v>0</v>
      </c>
      <c r="X15" s="47">
        <v>0</v>
      </c>
      <c r="Y15" s="46">
        <v>0</v>
      </c>
      <c r="Z15" s="47">
        <v>0</v>
      </c>
      <c r="AA15" s="46">
        <f>V15+W15+X15+Z15</f>
        <v>1623412</v>
      </c>
      <c r="AB15" s="49">
        <f>'[2]Updated Annex B CIPs'!$AG$26+'[2]Updated Annex B CIPs'!$AJ$26</f>
        <v>1813933</v>
      </c>
      <c r="AC15" s="47">
        <v>0</v>
      </c>
      <c r="AD15" s="47">
        <v>0</v>
      </c>
      <c r="AE15" s="46">
        <v>0</v>
      </c>
      <c r="AF15" s="47">
        <v>0</v>
      </c>
      <c r="AG15" s="46">
        <f>AB15+AC15+AD15+AE15+AF15</f>
        <v>1813933</v>
      </c>
      <c r="AH15" s="47">
        <f>J15+P15+V15+AB15</f>
        <v>4037345</v>
      </c>
      <c r="AI15" s="47">
        <f>K15+Q15+W15+AC15</f>
        <v>0</v>
      </c>
      <c r="AJ15" s="47">
        <f>L15+R15+X15+AD15</f>
        <v>0</v>
      </c>
      <c r="AK15" s="47">
        <f>M15+S15+Y15+AE15</f>
        <v>0</v>
      </c>
      <c r="AL15" s="47">
        <f>N15+T15+Z15+AF15</f>
        <v>0</v>
      </c>
      <c r="AM15" s="46">
        <f>AH15+AI15+AJ15+AK15+AL15</f>
        <v>4037345</v>
      </c>
      <c r="AN15" s="47">
        <f>'[2]Updated Annex B CIPs'!$AN$26+'[2]Updated Annex B CIPs'!$AQ$26</f>
        <v>1219096</v>
      </c>
      <c r="AO15" s="50"/>
      <c r="AP15" s="50"/>
      <c r="AQ15" s="50"/>
      <c r="AR15" s="50"/>
      <c r="AS15" s="48">
        <f>AN15+AO15+AP15+AQ15+AR15</f>
        <v>1219096</v>
      </c>
      <c r="AT15" s="48">
        <f>AH15+AN15</f>
        <v>5256441</v>
      </c>
      <c r="AU15" s="48">
        <f t="shared" ref="AU15:AU21" si="1">AJ15+AP15</f>
        <v>0</v>
      </c>
      <c r="AV15" s="48">
        <f t="shared" ref="AV15:AV21" si="2">AJ15+AP15</f>
        <v>0</v>
      </c>
      <c r="AW15" s="48">
        <f t="shared" ref="AW15:AW21" si="3">AK15+AQ15</f>
        <v>0</v>
      </c>
      <c r="AX15" s="48">
        <f t="shared" ref="AX15:AX21" si="4">AL15+AR15</f>
        <v>0</v>
      </c>
      <c r="AY15" s="48">
        <f t="shared" ref="AY15:AY21" si="5">AT15+AU15+AV15+AW15+AX15</f>
        <v>5256441</v>
      </c>
    </row>
    <row r="16" spans="1:53" ht="63.75">
      <c r="A16" s="1" t="s">
        <v>102</v>
      </c>
      <c r="B16" s="4" t="s">
        <v>80</v>
      </c>
      <c r="C16" s="1" t="s">
        <v>103</v>
      </c>
      <c r="D16" s="4" t="s">
        <v>82</v>
      </c>
      <c r="E16" s="1" t="s">
        <v>161</v>
      </c>
      <c r="F16" s="4" t="s">
        <v>99</v>
      </c>
      <c r="G16" s="4" t="s">
        <v>100</v>
      </c>
      <c r="H16" s="1" t="s">
        <v>133</v>
      </c>
      <c r="I16" s="5">
        <v>2014</v>
      </c>
      <c r="J16" s="47">
        <v>0</v>
      </c>
      <c r="K16" s="47">
        <v>0</v>
      </c>
      <c r="L16" s="47">
        <v>0</v>
      </c>
      <c r="M16" s="47">
        <v>0</v>
      </c>
      <c r="N16" s="47">
        <v>0</v>
      </c>
      <c r="O16" s="47">
        <v>0</v>
      </c>
      <c r="P16" s="47">
        <v>0</v>
      </c>
      <c r="Q16" s="47">
        <v>0</v>
      </c>
      <c r="R16" s="47">
        <v>0</v>
      </c>
      <c r="S16" s="47">
        <v>0</v>
      </c>
      <c r="T16" s="47">
        <v>0</v>
      </c>
      <c r="U16" s="47">
        <v>0</v>
      </c>
      <c r="V16" s="49">
        <v>700000</v>
      </c>
      <c r="W16" s="47">
        <v>0</v>
      </c>
      <c r="X16" s="47">
        <v>0</v>
      </c>
      <c r="Y16" s="47">
        <v>0</v>
      </c>
      <c r="Z16" s="47">
        <v>0</v>
      </c>
      <c r="AA16" s="46">
        <f>V16+W16+X16+Y16+Z16</f>
        <v>700000</v>
      </c>
      <c r="AB16" s="49">
        <f>'[3]B-Prioritized Strategic Core'!$AG$24+'[3]B-Prioritized Strategic Core'!$AJ$24</f>
        <v>935000</v>
      </c>
      <c r="AC16" s="47">
        <v>0</v>
      </c>
      <c r="AD16" s="47">
        <v>0</v>
      </c>
      <c r="AE16" s="46">
        <v>0</v>
      </c>
      <c r="AF16" s="47">
        <v>0</v>
      </c>
      <c r="AG16" s="46">
        <f>AB16+AC16+AD16+AE16+AF16</f>
        <v>935000</v>
      </c>
      <c r="AH16" s="47">
        <f>V16+AB16</f>
        <v>1635000</v>
      </c>
      <c r="AI16" s="47">
        <f>W16+AC16</f>
        <v>0</v>
      </c>
      <c r="AJ16" s="47">
        <f>X16+AD16</f>
        <v>0</v>
      </c>
      <c r="AK16" s="47">
        <f>Y16+AE16</f>
        <v>0</v>
      </c>
      <c r="AL16" s="47">
        <f>Z16+AF16</f>
        <v>0</v>
      </c>
      <c r="AM16" s="46">
        <f>AH16+AI16+AJ16+AK16+AL16</f>
        <v>1635000</v>
      </c>
      <c r="AN16" s="47">
        <f>6599.4*1000</f>
        <v>6599400</v>
      </c>
      <c r="AO16" s="50"/>
      <c r="AP16" s="50"/>
      <c r="AQ16" s="50"/>
      <c r="AR16" s="50"/>
      <c r="AS16" s="48">
        <f>AN16+AO16+AP16+AQ16+AR16</f>
        <v>6599400</v>
      </c>
      <c r="AT16" s="48">
        <f>AH16+AN16</f>
        <v>8234400</v>
      </c>
      <c r="AU16" s="48">
        <f t="shared" si="1"/>
        <v>0</v>
      </c>
      <c r="AV16" s="48">
        <f t="shared" si="2"/>
        <v>0</v>
      </c>
      <c r="AW16" s="48">
        <f t="shared" si="3"/>
        <v>0</v>
      </c>
      <c r="AX16" s="48">
        <f t="shared" si="4"/>
        <v>0</v>
      </c>
      <c r="AY16" s="48">
        <f t="shared" si="5"/>
        <v>8234400</v>
      </c>
    </row>
    <row r="17" spans="1:51" ht="63.75">
      <c r="A17" s="1" t="s">
        <v>104</v>
      </c>
      <c r="B17" s="4" t="s">
        <v>80</v>
      </c>
      <c r="C17" s="1" t="s">
        <v>105</v>
      </c>
      <c r="D17" s="4" t="s">
        <v>82</v>
      </c>
      <c r="E17" s="1" t="s">
        <v>161</v>
      </c>
      <c r="F17" s="4">
        <v>8</v>
      </c>
      <c r="G17" s="4" t="s">
        <v>100</v>
      </c>
      <c r="H17" s="1" t="s">
        <v>134</v>
      </c>
      <c r="I17" s="5">
        <v>2014</v>
      </c>
      <c r="J17" s="47">
        <v>0</v>
      </c>
      <c r="K17" s="47">
        <v>0</v>
      </c>
      <c r="L17" s="47">
        <v>0</v>
      </c>
      <c r="M17" s="47">
        <v>0</v>
      </c>
      <c r="N17" s="47">
        <v>0</v>
      </c>
      <c r="O17" s="47">
        <v>0</v>
      </c>
      <c r="P17" s="49">
        <v>420750</v>
      </c>
      <c r="Q17" s="47">
        <v>0</v>
      </c>
      <c r="R17" s="47">
        <v>0</v>
      </c>
      <c r="S17" s="46">
        <v>0</v>
      </c>
      <c r="T17" s="47">
        <v>0</v>
      </c>
      <c r="U17" s="46">
        <f>P17+Q17+R17+T17</f>
        <v>420750</v>
      </c>
      <c r="V17" s="49">
        <v>673200</v>
      </c>
      <c r="W17" s="47">
        <v>0</v>
      </c>
      <c r="X17" s="47">
        <v>0</v>
      </c>
      <c r="Y17" s="46">
        <v>0</v>
      </c>
      <c r="Z17" s="47">
        <v>0</v>
      </c>
      <c r="AA17" s="46">
        <f>V17+W17+X17+Z17</f>
        <v>673200</v>
      </c>
      <c r="AB17" s="49">
        <v>588950</v>
      </c>
      <c r="AC17" s="47">
        <v>0</v>
      </c>
      <c r="AD17" s="47">
        <v>0</v>
      </c>
      <c r="AE17" s="46">
        <v>0</v>
      </c>
      <c r="AF17" s="47">
        <v>0</v>
      </c>
      <c r="AG17" s="46">
        <f>AB17+AC17+AD17+AE17+AF17</f>
        <v>588950</v>
      </c>
      <c r="AH17" s="47">
        <f>P17+V17+AB17</f>
        <v>1682900</v>
      </c>
      <c r="AI17" s="47">
        <f>W16+Q17+W17+AC17</f>
        <v>0</v>
      </c>
      <c r="AJ17" s="47">
        <f>X16+R17+X17+AD17</f>
        <v>0</v>
      </c>
      <c r="AK17" s="47">
        <f>Y16+S17+Y17+AE17</f>
        <v>0</v>
      </c>
      <c r="AL17" s="47">
        <f>Z16+T17+Z17+AF17</f>
        <v>0</v>
      </c>
      <c r="AM17" s="47">
        <f>AH17+AI17+AJ17+AK17+AL17</f>
        <v>1682900</v>
      </c>
      <c r="AN17" s="47">
        <v>0</v>
      </c>
      <c r="AO17" s="50"/>
      <c r="AP17" s="50"/>
      <c r="AQ17" s="50"/>
      <c r="AR17" s="50"/>
      <c r="AS17" s="48">
        <f>AN17+AO17+AP17+AQ17+AR17</f>
        <v>0</v>
      </c>
      <c r="AT17" s="48">
        <f>AH17</f>
        <v>1682900</v>
      </c>
      <c r="AU17" s="48">
        <f t="shared" si="1"/>
        <v>0</v>
      </c>
      <c r="AV17" s="48">
        <f t="shared" si="2"/>
        <v>0</v>
      </c>
      <c r="AW17" s="48">
        <f t="shared" si="3"/>
        <v>0</v>
      </c>
      <c r="AX17" s="48">
        <f t="shared" si="4"/>
        <v>0</v>
      </c>
      <c r="AY17" s="48">
        <f t="shared" si="5"/>
        <v>1682900</v>
      </c>
    </row>
    <row r="18" spans="1:51" ht="38.25">
      <c r="A18" s="3" t="s">
        <v>131</v>
      </c>
      <c r="B18" s="5"/>
      <c r="C18" s="1"/>
      <c r="D18" s="5"/>
      <c r="E18" s="5"/>
      <c r="F18" s="5"/>
      <c r="G18" s="5"/>
      <c r="H18" s="1"/>
      <c r="I18" s="5"/>
      <c r="J18" s="47"/>
      <c r="K18" s="47"/>
      <c r="L18" s="47"/>
      <c r="M18" s="47"/>
      <c r="N18" s="47"/>
      <c r="O18" s="46"/>
      <c r="P18" s="47"/>
      <c r="Q18" s="47"/>
      <c r="R18" s="47"/>
      <c r="S18" s="44"/>
      <c r="T18" s="47"/>
      <c r="U18" s="46"/>
      <c r="V18" s="47"/>
      <c r="W18" s="47"/>
      <c r="X18" s="47"/>
      <c r="Y18" s="44"/>
      <c r="Z18" s="47"/>
      <c r="AA18" s="46"/>
      <c r="AB18" s="47"/>
      <c r="AC18" s="47"/>
      <c r="AD18" s="47"/>
      <c r="AE18" s="44"/>
      <c r="AF18" s="47"/>
      <c r="AG18" s="46"/>
      <c r="AH18" s="47"/>
      <c r="AI18" s="47"/>
      <c r="AJ18" s="47"/>
      <c r="AK18" s="47"/>
      <c r="AL18" s="47"/>
      <c r="AM18" s="46"/>
      <c r="AN18" s="50"/>
      <c r="AO18" s="50"/>
      <c r="AP18" s="50"/>
      <c r="AQ18" s="50"/>
      <c r="AR18" s="50"/>
      <c r="AS18" s="48"/>
      <c r="AT18" s="48"/>
      <c r="AU18" s="48"/>
      <c r="AV18" s="48"/>
      <c r="AW18" s="48"/>
      <c r="AX18" s="48"/>
      <c r="AY18" s="48"/>
    </row>
    <row r="19" spans="1:51">
      <c r="A19" s="1" t="s">
        <v>93</v>
      </c>
      <c r="B19" s="5"/>
      <c r="C19" s="1"/>
      <c r="D19" s="5"/>
      <c r="E19" s="5"/>
      <c r="F19" s="5"/>
      <c r="G19" s="5"/>
      <c r="H19" s="1"/>
      <c r="I19" s="5"/>
      <c r="J19" s="47"/>
      <c r="K19" s="47"/>
      <c r="L19" s="47"/>
      <c r="M19" s="47"/>
      <c r="N19" s="47"/>
      <c r="O19" s="46"/>
      <c r="P19" s="47"/>
      <c r="Q19" s="47"/>
      <c r="R19" s="47"/>
      <c r="S19" s="44"/>
      <c r="T19" s="47"/>
      <c r="U19" s="46"/>
      <c r="V19" s="47"/>
      <c r="W19" s="47"/>
      <c r="X19" s="47"/>
      <c r="Y19" s="44"/>
      <c r="Z19" s="47"/>
      <c r="AA19" s="46"/>
      <c r="AB19" s="47"/>
      <c r="AC19" s="47"/>
      <c r="AD19" s="47"/>
      <c r="AE19" s="44"/>
      <c r="AF19" s="47"/>
      <c r="AG19" s="46"/>
      <c r="AH19" s="47"/>
      <c r="AI19" s="47"/>
      <c r="AJ19" s="47"/>
      <c r="AK19" s="47"/>
      <c r="AL19" s="47"/>
      <c r="AM19" s="46"/>
      <c r="AN19" s="50"/>
      <c r="AO19" s="50"/>
      <c r="AP19" s="50"/>
      <c r="AQ19" s="50"/>
      <c r="AR19" s="50"/>
      <c r="AS19" s="48"/>
      <c r="AT19" s="48"/>
      <c r="AU19" s="48"/>
      <c r="AV19" s="48"/>
      <c r="AW19" s="48"/>
      <c r="AX19" s="48"/>
      <c r="AY19" s="48"/>
    </row>
    <row r="20" spans="1:51">
      <c r="A20" s="1" t="s">
        <v>94</v>
      </c>
      <c r="B20" s="5"/>
      <c r="C20" s="1"/>
      <c r="D20" s="5"/>
      <c r="E20" s="5"/>
      <c r="F20" s="5"/>
      <c r="G20" s="5"/>
      <c r="H20" s="1"/>
      <c r="I20" s="5"/>
      <c r="J20" s="47"/>
      <c r="K20" s="47"/>
      <c r="L20" s="47"/>
      <c r="M20" s="47"/>
      <c r="N20" s="47"/>
      <c r="O20" s="46"/>
      <c r="P20" s="47"/>
      <c r="Q20" s="47"/>
      <c r="R20" s="47"/>
      <c r="S20" s="44"/>
      <c r="T20" s="47"/>
      <c r="U20" s="46"/>
      <c r="V20" s="47"/>
      <c r="W20" s="47"/>
      <c r="X20" s="47"/>
      <c r="Y20" s="44"/>
      <c r="Z20" s="47"/>
      <c r="AA20" s="46"/>
      <c r="AB20" s="47"/>
      <c r="AC20" s="47"/>
      <c r="AD20" s="47"/>
      <c r="AE20" s="44"/>
      <c r="AF20" s="47"/>
      <c r="AG20" s="46"/>
      <c r="AH20" s="47"/>
      <c r="AI20" s="47"/>
      <c r="AJ20" s="47"/>
      <c r="AK20" s="47"/>
      <c r="AL20" s="47"/>
      <c r="AM20" s="46"/>
      <c r="AN20" s="50"/>
      <c r="AO20" s="50"/>
      <c r="AP20" s="50"/>
      <c r="AQ20" s="50"/>
      <c r="AR20" s="50"/>
      <c r="AS20" s="48"/>
      <c r="AT20" s="48"/>
      <c r="AU20" s="48"/>
      <c r="AV20" s="48"/>
      <c r="AW20" s="48"/>
      <c r="AX20" s="48"/>
      <c r="AY20" s="48"/>
    </row>
    <row r="21" spans="1:51" ht="140.25">
      <c r="A21" s="1" t="s">
        <v>69</v>
      </c>
      <c r="B21" s="5" t="s">
        <v>78</v>
      </c>
      <c r="C21" s="1" t="s">
        <v>72</v>
      </c>
      <c r="D21" s="5" t="s">
        <v>53</v>
      </c>
      <c r="E21" s="5" t="s">
        <v>71</v>
      </c>
      <c r="F21" s="5">
        <v>4</v>
      </c>
      <c r="G21" s="5">
        <v>7</v>
      </c>
      <c r="H21" s="1" t="s">
        <v>135</v>
      </c>
      <c r="I21" s="5" t="s">
        <v>125</v>
      </c>
      <c r="J21" s="46">
        <v>0</v>
      </c>
      <c r="K21" s="46">
        <v>0</v>
      </c>
      <c r="L21" s="46">
        <v>0</v>
      </c>
      <c r="M21" s="46">
        <v>0</v>
      </c>
      <c r="N21" s="46">
        <v>0</v>
      </c>
      <c r="O21" s="46">
        <f>J21+K21+L21+M21+N21</f>
        <v>0</v>
      </c>
      <c r="P21" s="47">
        <f>250000000/1000</f>
        <v>250000</v>
      </c>
      <c r="Q21" s="47">
        <v>0</v>
      </c>
      <c r="R21" s="47">
        <v>0</v>
      </c>
      <c r="S21" s="47">
        <v>0</v>
      </c>
      <c r="T21" s="47">
        <f>250000000/1000</f>
        <v>250000</v>
      </c>
      <c r="U21" s="47">
        <f>P21+Q21+R21+S21+T21</f>
        <v>500000</v>
      </c>
      <c r="V21" s="47">
        <f>150000000/1000</f>
        <v>150000</v>
      </c>
      <c r="W21" s="47">
        <v>0</v>
      </c>
      <c r="X21" s="47">
        <v>0</v>
      </c>
      <c r="Y21" s="47">
        <v>0</v>
      </c>
      <c r="Z21" s="47">
        <f>150000000/1000</f>
        <v>150000</v>
      </c>
      <c r="AA21" s="46">
        <f>V21+W21+X21+Y21+Z21</f>
        <v>300000</v>
      </c>
      <c r="AB21" s="47">
        <f>150000000/1000</f>
        <v>150000</v>
      </c>
      <c r="AC21" s="47">
        <v>0</v>
      </c>
      <c r="AD21" s="47">
        <v>0</v>
      </c>
      <c r="AE21" s="47">
        <v>0</v>
      </c>
      <c r="AF21" s="47">
        <f>150000000/1000</f>
        <v>150000</v>
      </c>
      <c r="AG21" s="46">
        <f>AB21+AC21+AD21+AE21+AF21</f>
        <v>300000</v>
      </c>
      <c r="AH21" s="47">
        <f>J21+P21+V21+AB21</f>
        <v>550000</v>
      </c>
      <c r="AI21" s="47">
        <v>0</v>
      </c>
      <c r="AJ21" s="47">
        <f>SUM(K21,Q21,AC21,W21)</f>
        <v>0</v>
      </c>
      <c r="AK21" s="47">
        <v>0</v>
      </c>
      <c r="AL21" s="47">
        <f>N21+T21+Z21+AF21</f>
        <v>550000</v>
      </c>
      <c r="AM21" s="46">
        <f>AH21+AI21+AJ21+AK21+AL21</f>
        <v>1100000</v>
      </c>
      <c r="AN21" s="47">
        <f>'[4]Breakdown 2017 and beyond'!$DH$3/1000</f>
        <v>300000</v>
      </c>
      <c r="AO21" s="50"/>
      <c r="AP21" s="50"/>
      <c r="AQ21" s="50"/>
      <c r="AR21" s="48">
        <f>'[4]Breakdown 2017 and beyond'!$DJ$3/1000</f>
        <v>300000</v>
      </c>
      <c r="AS21" s="48">
        <f>AN21+AO21+AP21+AQ21+AR21</f>
        <v>600000</v>
      </c>
      <c r="AT21" s="48">
        <f>AH21+AN21</f>
        <v>850000</v>
      </c>
      <c r="AU21" s="48">
        <f t="shared" si="1"/>
        <v>0</v>
      </c>
      <c r="AV21" s="48">
        <f t="shared" si="2"/>
        <v>0</v>
      </c>
      <c r="AW21" s="48">
        <f t="shared" si="3"/>
        <v>0</v>
      </c>
      <c r="AX21" s="48">
        <f t="shared" si="4"/>
        <v>850000</v>
      </c>
      <c r="AY21" s="48">
        <f t="shared" si="5"/>
        <v>1700000</v>
      </c>
    </row>
    <row r="22" spans="1:51" ht="148.5" customHeight="1">
      <c r="A22" s="1" t="s">
        <v>73</v>
      </c>
      <c r="B22" s="5" t="s">
        <v>78</v>
      </c>
      <c r="C22" s="1" t="s">
        <v>75</v>
      </c>
      <c r="D22" s="4" t="s">
        <v>82</v>
      </c>
      <c r="E22" s="1" t="s">
        <v>161</v>
      </c>
      <c r="F22" s="5">
        <v>4</v>
      </c>
      <c r="G22" s="5" t="s">
        <v>59</v>
      </c>
      <c r="H22" s="1" t="s">
        <v>135</v>
      </c>
      <c r="I22" s="5" t="s">
        <v>166</v>
      </c>
      <c r="J22" s="47">
        <f>264000000/1000</f>
        <v>264000</v>
      </c>
      <c r="K22" s="47">
        <v>0</v>
      </c>
      <c r="L22" s="47">
        <f>66000000/1000</f>
        <v>66000</v>
      </c>
      <c r="M22" s="47">
        <v>0</v>
      </c>
      <c r="N22" s="47">
        <v>0</v>
      </c>
      <c r="O22" s="47">
        <f>J22+K22+L22+M22+N22</f>
        <v>330000</v>
      </c>
      <c r="P22" s="47">
        <f>584000000/1000</f>
        <v>584000</v>
      </c>
      <c r="Q22" s="46">
        <v>0</v>
      </c>
      <c r="R22" s="46">
        <f>146000000/1000</f>
        <v>146000</v>
      </c>
      <c r="S22" s="46">
        <v>0</v>
      </c>
      <c r="T22" s="46">
        <v>0</v>
      </c>
      <c r="U22" s="46">
        <f>P22+Q22+R22+S22+T22</f>
        <v>730000</v>
      </c>
      <c r="V22" s="47">
        <f>664000000/1000</f>
        <v>664000</v>
      </c>
      <c r="W22" s="46">
        <v>0</v>
      </c>
      <c r="X22" s="46">
        <f>166000000/1000</f>
        <v>166000</v>
      </c>
      <c r="Y22" s="47">
        <f>16400000/1000</f>
        <v>16400</v>
      </c>
      <c r="Z22" s="46">
        <v>0</v>
      </c>
      <c r="AA22" s="46">
        <f>V22+W22+X22+Y22+Z22</f>
        <v>846400</v>
      </c>
      <c r="AB22" s="47">
        <f>1136000000/1000</f>
        <v>1136000</v>
      </c>
      <c r="AC22" s="46">
        <v>0</v>
      </c>
      <c r="AD22" s="46">
        <f>284000000/1000</f>
        <v>284000</v>
      </c>
      <c r="AE22" s="47">
        <f>41000000/1000</f>
        <v>41000</v>
      </c>
      <c r="AF22" s="46">
        <v>0</v>
      </c>
      <c r="AG22" s="46">
        <f>AB22+AC22+AD22+AE22+AF22</f>
        <v>1461000</v>
      </c>
      <c r="AH22" s="46">
        <f>J22+P22+V22+AB22</f>
        <v>2648000</v>
      </c>
      <c r="AI22" s="46">
        <f>K22+Q22+W22+AC22</f>
        <v>0</v>
      </c>
      <c r="AJ22" s="46">
        <f>L22+R22+X22+AD22</f>
        <v>662000</v>
      </c>
      <c r="AK22" s="46">
        <f>M22+S22+Y22+AE22</f>
        <v>57400</v>
      </c>
      <c r="AL22" s="46">
        <f>N22+T22+Z22+AF22</f>
        <v>0</v>
      </c>
      <c r="AM22" s="46">
        <f>AH22+AI22+AJ22+AK22+AL22</f>
        <v>3367400</v>
      </c>
      <c r="AN22" s="47">
        <f>'[5]Breakdown 2017 and beyond'!$DJ$13/1000</f>
        <v>2272000</v>
      </c>
      <c r="AO22" s="50"/>
      <c r="AP22" s="47">
        <f>'[5]Breakdown 2017 and beyond'!$DM$13/1000</f>
        <v>568000</v>
      </c>
      <c r="AQ22" s="47">
        <f>'[5]Breakdown 2017 and beyond'!$DN$13/1000</f>
        <v>114800</v>
      </c>
      <c r="AR22" s="50"/>
      <c r="AS22" s="48">
        <f>AN22+AO22+AP22+AQ22+AR22</f>
        <v>2954800</v>
      </c>
      <c r="AT22" s="48">
        <f>AH22+AN22</f>
        <v>4920000</v>
      </c>
      <c r="AU22" s="48"/>
      <c r="AV22" s="48">
        <f>AJ22+AP22</f>
        <v>1230000</v>
      </c>
      <c r="AW22" s="48">
        <f>AK22+AQ22</f>
        <v>172200</v>
      </c>
      <c r="AX22" s="48">
        <f>AL22+AR22</f>
        <v>0</v>
      </c>
      <c r="AY22" s="48">
        <f>AT22+AU22+AV22+AW22+AX22</f>
        <v>6322200</v>
      </c>
    </row>
    <row r="23" spans="1:51" ht="29.25" customHeight="1">
      <c r="A23" s="1" t="s">
        <v>95</v>
      </c>
      <c r="B23" s="5"/>
      <c r="C23" s="1"/>
      <c r="D23" s="5"/>
      <c r="E23" s="5"/>
      <c r="F23" s="5"/>
      <c r="G23" s="5"/>
      <c r="H23" s="1"/>
      <c r="I23" s="5"/>
      <c r="J23" s="47"/>
      <c r="K23" s="47"/>
      <c r="L23" s="47"/>
      <c r="M23" s="47"/>
      <c r="N23" s="47"/>
      <c r="O23" s="47"/>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50"/>
      <c r="AO23" s="50"/>
      <c r="AP23" s="48"/>
      <c r="AQ23" s="50"/>
      <c r="AR23" s="50"/>
      <c r="AS23" s="48"/>
      <c r="AT23" s="48"/>
      <c r="AU23" s="48"/>
      <c r="AV23" s="48"/>
      <c r="AW23" s="48"/>
      <c r="AX23" s="48"/>
      <c r="AY23" s="48"/>
    </row>
    <row r="24" spans="1:51" s="29" customFormat="1" ht="51">
      <c r="A24" s="1" t="s">
        <v>137</v>
      </c>
      <c r="B24" s="28"/>
      <c r="C24" s="1"/>
      <c r="D24" s="4" t="s">
        <v>82</v>
      </c>
      <c r="E24" s="1" t="s">
        <v>160</v>
      </c>
      <c r="F24" s="28"/>
      <c r="G24" s="28"/>
      <c r="H24" s="28"/>
      <c r="I24" s="28"/>
      <c r="J24" s="47">
        <f>'[6]B-Prioritized Strategic Core'!$L$28</f>
        <v>484590</v>
      </c>
      <c r="K24" s="47">
        <v>0</v>
      </c>
      <c r="L24" s="47">
        <v>0</v>
      </c>
      <c r="M24" s="47">
        <f>17840000/1000</f>
        <v>17840</v>
      </c>
      <c r="N24" s="47">
        <v>0</v>
      </c>
      <c r="O24" s="47">
        <f>J24+K24+L24+M24+N24</f>
        <v>502430</v>
      </c>
      <c r="P24" s="47">
        <f>'[6]B-Prioritized Strategic Core'!$R$28</f>
        <v>776570</v>
      </c>
      <c r="Q24" s="47">
        <v>0</v>
      </c>
      <c r="R24" s="47">
        <v>0</v>
      </c>
      <c r="S24" s="47">
        <f>7260000/1000</f>
        <v>7260</v>
      </c>
      <c r="T24" s="47">
        <v>0</v>
      </c>
      <c r="U24" s="47">
        <f>P24+Q24+R24+S24+T24</f>
        <v>783830</v>
      </c>
      <c r="V24" s="47">
        <f>'[6]B-Prioritized Strategic Core'!$X$28</f>
        <v>351510</v>
      </c>
      <c r="W24" s="47">
        <v>0</v>
      </c>
      <c r="X24" s="47">
        <v>0</v>
      </c>
      <c r="Y24" s="47">
        <f>13850000/1000</f>
        <v>13850</v>
      </c>
      <c r="Z24" s="47">
        <v>0</v>
      </c>
      <c r="AA24" s="46">
        <f>V24+W24+X24+Y24+Z24</f>
        <v>365360</v>
      </c>
      <c r="AB24" s="47">
        <f>'[6]B-Prioritized Strategic Core'!$AD$28</f>
        <v>326330</v>
      </c>
      <c r="AC24" s="47">
        <v>0</v>
      </c>
      <c r="AD24" s="47">
        <v>0</v>
      </c>
      <c r="AE24" s="47">
        <f>24940000/1000</f>
        <v>24940</v>
      </c>
      <c r="AF24" s="47">
        <v>0</v>
      </c>
      <c r="AG24" s="47">
        <f>SUM(AB24:AF24)</f>
        <v>351270</v>
      </c>
      <c r="AH24" s="46">
        <f t="shared" ref="AH24:AM24" si="6">J24+P24+V24+AB24</f>
        <v>1939000</v>
      </c>
      <c r="AI24" s="46">
        <f t="shared" si="6"/>
        <v>0</v>
      </c>
      <c r="AJ24" s="46">
        <f t="shared" si="6"/>
        <v>0</v>
      </c>
      <c r="AK24" s="46">
        <f t="shared" si="6"/>
        <v>63890</v>
      </c>
      <c r="AL24" s="46">
        <f t="shared" si="6"/>
        <v>0</v>
      </c>
      <c r="AM24" s="46">
        <f t="shared" si="6"/>
        <v>2002890</v>
      </c>
      <c r="AN24" s="47">
        <f>'[5]Breakdown 2017 and beyond'!$DJ$14/1000</f>
        <v>587370</v>
      </c>
      <c r="AO24" s="48"/>
      <c r="AP24" s="48"/>
      <c r="AQ24" s="47">
        <f>'[5]Breakdown 2017 and beyond'!$DN$14/1000</f>
        <v>85350</v>
      </c>
      <c r="AR24" s="48"/>
      <c r="AS24" s="48">
        <f>AN24+AO24+AP24+AQ24+AR24</f>
        <v>672720</v>
      </c>
      <c r="AT24" s="48">
        <f>AH24+AN24</f>
        <v>2526370</v>
      </c>
      <c r="AU24" s="48"/>
      <c r="AV24" s="48">
        <f>AJ24+AP24</f>
        <v>0</v>
      </c>
      <c r="AW24" s="48">
        <f>AK24+AQ24</f>
        <v>149240</v>
      </c>
      <c r="AX24" s="48">
        <f>AL24+AR24</f>
        <v>0</v>
      </c>
      <c r="AY24" s="48">
        <f>AT24+AU24+AV24+AW24+AX24</f>
        <v>2675610</v>
      </c>
    </row>
    <row r="25" spans="1:51" ht="14.25" customHeight="1">
      <c r="A25" s="1" t="s">
        <v>109</v>
      </c>
      <c r="B25" s="5"/>
      <c r="C25" s="1"/>
      <c r="D25" s="5"/>
      <c r="E25" s="5"/>
      <c r="F25" s="5"/>
      <c r="G25" s="5"/>
      <c r="H25" s="1"/>
      <c r="I25" s="5"/>
      <c r="J25" s="47"/>
      <c r="K25" s="47"/>
      <c r="L25" s="47"/>
      <c r="M25" s="47"/>
      <c r="N25" s="47"/>
      <c r="O25" s="47"/>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50"/>
      <c r="AO25" s="50"/>
      <c r="AP25" s="50"/>
      <c r="AQ25" s="50"/>
      <c r="AR25" s="50"/>
      <c r="AS25" s="48"/>
      <c r="AT25" s="48"/>
      <c r="AU25" s="48"/>
      <c r="AV25" s="48"/>
      <c r="AW25" s="48"/>
      <c r="AX25" s="48"/>
      <c r="AY25" s="48"/>
    </row>
    <row r="26" spans="1:51" ht="63.75">
      <c r="A26" s="1" t="s">
        <v>65</v>
      </c>
      <c r="B26" s="5" t="s">
        <v>78</v>
      </c>
      <c r="C26" s="1" t="s">
        <v>48</v>
      </c>
      <c r="D26" s="5" t="s">
        <v>49</v>
      </c>
      <c r="E26" s="5" t="s">
        <v>50</v>
      </c>
      <c r="F26" s="5">
        <v>4</v>
      </c>
      <c r="G26" s="5" t="s">
        <v>51</v>
      </c>
      <c r="H26" s="1" t="s">
        <v>134</v>
      </c>
      <c r="I26" s="5">
        <v>2015</v>
      </c>
      <c r="J26" s="46"/>
      <c r="K26" s="46"/>
      <c r="L26" s="46"/>
      <c r="M26" s="46"/>
      <c r="N26" s="46"/>
      <c r="O26" s="46"/>
      <c r="P26" s="46"/>
      <c r="Q26" s="46"/>
      <c r="R26" s="46"/>
      <c r="S26" s="46"/>
      <c r="T26" s="46"/>
      <c r="U26" s="46"/>
      <c r="V26" s="46"/>
      <c r="W26" s="46"/>
      <c r="X26" s="46"/>
      <c r="Y26" s="46"/>
      <c r="Z26" s="46"/>
      <c r="AA26" s="46"/>
      <c r="AB26" s="47"/>
      <c r="AC26" s="47"/>
      <c r="AD26" s="47"/>
      <c r="AE26" s="47"/>
      <c r="AF26" s="47"/>
      <c r="AG26" s="46"/>
      <c r="AH26" s="46"/>
      <c r="AI26" s="46"/>
      <c r="AJ26" s="46"/>
      <c r="AK26" s="46"/>
      <c r="AL26" s="46"/>
      <c r="AM26" s="46"/>
      <c r="AN26" s="50"/>
      <c r="AO26" s="50"/>
      <c r="AP26" s="50"/>
      <c r="AQ26" s="50"/>
      <c r="AR26" s="50"/>
      <c r="AS26" s="48"/>
      <c r="AT26" s="48"/>
      <c r="AU26" s="48"/>
      <c r="AV26" s="48"/>
      <c r="AW26" s="48"/>
      <c r="AX26" s="48"/>
      <c r="AY26" s="48"/>
    </row>
    <row r="27" spans="1:51" ht="63.75">
      <c r="A27" s="1" t="s">
        <v>66</v>
      </c>
      <c r="B27" s="5" t="s">
        <v>78</v>
      </c>
      <c r="C27" s="1" t="s">
        <v>52</v>
      </c>
      <c r="D27" s="5" t="s">
        <v>49</v>
      </c>
      <c r="E27" s="5" t="s">
        <v>58</v>
      </c>
      <c r="F27" s="5">
        <v>4</v>
      </c>
      <c r="G27" s="5" t="s">
        <v>59</v>
      </c>
      <c r="H27" s="1" t="s">
        <v>134</v>
      </c>
      <c r="I27" s="5">
        <v>2014</v>
      </c>
      <c r="J27" s="46"/>
      <c r="K27" s="46"/>
      <c r="L27" s="46"/>
      <c r="M27" s="46"/>
      <c r="N27" s="46"/>
      <c r="O27" s="46"/>
      <c r="P27" s="46"/>
      <c r="Q27" s="46"/>
      <c r="R27" s="46"/>
      <c r="S27" s="46"/>
      <c r="T27" s="46"/>
      <c r="U27" s="46"/>
      <c r="V27" s="47"/>
      <c r="W27" s="47"/>
      <c r="X27" s="47"/>
      <c r="Y27" s="47"/>
      <c r="Z27" s="47"/>
      <c r="AA27" s="46"/>
      <c r="AB27" s="47"/>
      <c r="AC27" s="47"/>
      <c r="AD27" s="47"/>
      <c r="AE27" s="47"/>
      <c r="AF27" s="47"/>
      <c r="AG27" s="46"/>
      <c r="AH27" s="46"/>
      <c r="AI27" s="46"/>
      <c r="AJ27" s="46"/>
      <c r="AK27" s="46"/>
      <c r="AL27" s="46"/>
      <c r="AM27" s="46"/>
      <c r="AN27" s="50"/>
      <c r="AO27" s="50"/>
      <c r="AP27" s="50"/>
      <c r="AQ27" s="50"/>
      <c r="AR27" s="50"/>
      <c r="AS27" s="48"/>
      <c r="AT27" s="48"/>
      <c r="AU27" s="48"/>
      <c r="AV27" s="48"/>
      <c r="AW27" s="48"/>
      <c r="AX27" s="48"/>
      <c r="AY27" s="48"/>
    </row>
    <row r="28" spans="1:51" ht="102">
      <c r="A28" s="1" t="s">
        <v>76</v>
      </c>
      <c r="B28" s="5" t="s">
        <v>78</v>
      </c>
      <c r="C28" s="1" t="s">
        <v>55</v>
      </c>
      <c r="D28" s="5" t="s">
        <v>49</v>
      </c>
      <c r="E28" s="5" t="s">
        <v>60</v>
      </c>
      <c r="F28" s="5">
        <v>4</v>
      </c>
      <c r="G28" s="5" t="s">
        <v>59</v>
      </c>
      <c r="H28" s="1" t="s">
        <v>134</v>
      </c>
      <c r="I28" s="5">
        <v>2014</v>
      </c>
      <c r="J28" s="46"/>
      <c r="K28" s="46"/>
      <c r="L28" s="46"/>
      <c r="M28" s="46"/>
      <c r="N28" s="46"/>
      <c r="O28" s="46"/>
      <c r="P28" s="46"/>
      <c r="Q28" s="46"/>
      <c r="R28" s="46"/>
      <c r="S28" s="46"/>
      <c r="T28" s="46"/>
      <c r="U28" s="46"/>
      <c r="V28" s="47"/>
      <c r="W28" s="47"/>
      <c r="X28" s="47"/>
      <c r="Y28" s="47"/>
      <c r="Z28" s="47"/>
      <c r="AA28" s="46"/>
      <c r="AB28" s="47"/>
      <c r="AC28" s="47"/>
      <c r="AD28" s="47"/>
      <c r="AE28" s="47"/>
      <c r="AF28" s="47"/>
      <c r="AG28" s="46"/>
      <c r="AH28" s="46"/>
      <c r="AI28" s="51"/>
      <c r="AJ28" s="51"/>
      <c r="AK28" s="51"/>
      <c r="AL28" s="51"/>
      <c r="AM28" s="46"/>
      <c r="AN28" s="50"/>
      <c r="AO28" s="50"/>
      <c r="AP28" s="50"/>
      <c r="AQ28" s="50"/>
      <c r="AR28" s="50"/>
      <c r="AS28" s="48"/>
      <c r="AT28" s="48"/>
      <c r="AU28" s="48"/>
      <c r="AV28" s="48"/>
      <c r="AW28" s="48"/>
      <c r="AX28" s="48"/>
      <c r="AY28" s="48"/>
    </row>
    <row r="29" spans="1:51" ht="38.25">
      <c r="A29" s="8" t="s">
        <v>77</v>
      </c>
      <c r="B29" s="5" t="s">
        <v>78</v>
      </c>
      <c r="C29" s="1" t="s">
        <v>56</v>
      </c>
      <c r="D29" s="5" t="s">
        <v>49</v>
      </c>
      <c r="E29" s="5" t="s">
        <v>60</v>
      </c>
      <c r="F29" s="5">
        <v>4</v>
      </c>
      <c r="G29" s="5" t="s">
        <v>59</v>
      </c>
      <c r="H29" s="1" t="s">
        <v>134</v>
      </c>
      <c r="I29" s="5">
        <v>2013</v>
      </c>
      <c r="J29" s="46"/>
      <c r="K29" s="46"/>
      <c r="L29" s="46"/>
      <c r="M29" s="46"/>
      <c r="N29" s="46"/>
      <c r="O29" s="46"/>
      <c r="P29" s="46"/>
      <c r="Q29" s="46"/>
      <c r="R29" s="46"/>
      <c r="S29" s="46"/>
      <c r="T29" s="46"/>
      <c r="U29" s="46"/>
      <c r="V29" s="47"/>
      <c r="W29" s="47"/>
      <c r="X29" s="47"/>
      <c r="Y29" s="47"/>
      <c r="Z29" s="47"/>
      <c r="AA29" s="46"/>
      <c r="AB29" s="47"/>
      <c r="AC29" s="47"/>
      <c r="AD29" s="47"/>
      <c r="AE29" s="47"/>
      <c r="AF29" s="47"/>
      <c r="AG29" s="46"/>
      <c r="AH29" s="47"/>
      <c r="AI29" s="47"/>
      <c r="AJ29" s="47"/>
      <c r="AK29" s="47"/>
      <c r="AL29" s="47"/>
      <c r="AM29" s="47"/>
      <c r="AN29" s="50"/>
      <c r="AO29" s="50"/>
      <c r="AP29" s="50"/>
      <c r="AQ29" s="50"/>
      <c r="AR29" s="50"/>
      <c r="AS29" s="48"/>
      <c r="AT29" s="48"/>
      <c r="AU29" s="48"/>
      <c r="AV29" s="48"/>
      <c r="AW29" s="48"/>
      <c r="AX29" s="48"/>
      <c r="AY29" s="48"/>
    </row>
    <row r="30" spans="1:51" ht="63.75">
      <c r="A30" s="1" t="s">
        <v>121</v>
      </c>
      <c r="B30" s="5" t="s">
        <v>78</v>
      </c>
      <c r="C30" s="1" t="s">
        <v>122</v>
      </c>
      <c r="D30" s="5" t="s">
        <v>123</v>
      </c>
      <c r="E30" s="5" t="s">
        <v>50</v>
      </c>
      <c r="F30" s="5">
        <v>4</v>
      </c>
      <c r="G30" s="5" t="s">
        <v>59</v>
      </c>
      <c r="H30" s="1" t="s">
        <v>134</v>
      </c>
      <c r="I30" s="5"/>
      <c r="J30" s="46"/>
      <c r="K30" s="46"/>
      <c r="L30" s="46"/>
      <c r="M30" s="46"/>
      <c r="N30" s="46"/>
      <c r="O30" s="46"/>
      <c r="P30" s="46"/>
      <c r="Q30" s="46"/>
      <c r="R30" s="46"/>
      <c r="S30" s="46"/>
      <c r="T30" s="46"/>
      <c r="U30" s="46"/>
      <c r="V30" s="47"/>
      <c r="W30" s="47"/>
      <c r="X30" s="47"/>
      <c r="Y30" s="47"/>
      <c r="Z30" s="47"/>
      <c r="AA30" s="46"/>
      <c r="AB30" s="47"/>
      <c r="AC30" s="47"/>
      <c r="AD30" s="47"/>
      <c r="AE30" s="47"/>
      <c r="AF30" s="47"/>
      <c r="AG30" s="46"/>
      <c r="AH30" s="47"/>
      <c r="AI30" s="47"/>
      <c r="AJ30" s="47"/>
      <c r="AK30" s="47"/>
      <c r="AL30" s="47"/>
      <c r="AM30" s="47"/>
      <c r="AN30" s="50"/>
      <c r="AO30" s="50"/>
      <c r="AP30" s="50"/>
      <c r="AQ30" s="50"/>
      <c r="AR30" s="50"/>
      <c r="AS30" s="48"/>
      <c r="AT30" s="48"/>
      <c r="AU30" s="48"/>
      <c r="AV30" s="48"/>
      <c r="AW30" s="48"/>
      <c r="AX30" s="48"/>
      <c r="AY30" s="48"/>
    </row>
    <row r="31" spans="1:51">
      <c r="A31" s="1" t="s">
        <v>90</v>
      </c>
      <c r="B31" s="14"/>
      <c r="C31" s="16"/>
      <c r="D31" s="16"/>
      <c r="E31" s="14"/>
      <c r="F31" s="16"/>
      <c r="G31" s="16"/>
      <c r="H31" s="16"/>
      <c r="I31" s="5"/>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46"/>
      <c r="AN31" s="50"/>
      <c r="AO31" s="50"/>
      <c r="AP31" s="50"/>
      <c r="AQ31" s="50"/>
      <c r="AR31" s="50"/>
      <c r="AS31" s="48"/>
      <c r="AT31" s="48"/>
      <c r="AU31" s="48"/>
      <c r="AV31" s="48"/>
      <c r="AW31" s="48"/>
      <c r="AX31" s="48"/>
      <c r="AY31" s="48"/>
    </row>
    <row r="32" spans="1:51" ht="51">
      <c r="A32" s="1" t="s">
        <v>138</v>
      </c>
      <c r="B32" s="14"/>
      <c r="C32" s="16"/>
      <c r="D32" s="4" t="s">
        <v>82</v>
      </c>
      <c r="E32" s="1" t="s">
        <v>161</v>
      </c>
      <c r="F32" s="16"/>
      <c r="G32" s="16"/>
      <c r="H32" s="16"/>
      <c r="I32" s="5"/>
      <c r="J32" s="47">
        <f>'[6]B-Prioritized Strategic Core'!$L$36</f>
        <v>1621440</v>
      </c>
      <c r="K32" s="47">
        <v>0</v>
      </c>
      <c r="L32" s="47">
        <f>180160000/1000</f>
        <v>180160</v>
      </c>
      <c r="M32" s="47">
        <v>0</v>
      </c>
      <c r="N32" s="47">
        <v>0</v>
      </c>
      <c r="O32" s="51">
        <f>J32+K32+L32+M32+N32</f>
        <v>1801600</v>
      </c>
      <c r="P32" s="47">
        <f>4482110000/1000</f>
        <v>4482110</v>
      </c>
      <c r="Q32" s="47">
        <v>0</v>
      </c>
      <c r="R32" s="47">
        <f>498010000/1000</f>
        <v>498010</v>
      </c>
      <c r="S32" s="47">
        <v>0</v>
      </c>
      <c r="T32" s="47">
        <v>0</v>
      </c>
      <c r="U32" s="51">
        <f>P32+Q32+R32+S32+T32</f>
        <v>4980120</v>
      </c>
      <c r="V32" s="47">
        <f>'[6]B-Prioritized Strategic Core'!$X$36</f>
        <v>5504960</v>
      </c>
      <c r="W32" s="47">
        <v>0</v>
      </c>
      <c r="X32" s="47">
        <f>611660000/1000</f>
        <v>611660</v>
      </c>
      <c r="Y32" s="47">
        <v>0</v>
      </c>
      <c r="Z32" s="47">
        <v>0</v>
      </c>
      <c r="AA32" s="51">
        <f>V32+W32+X32+Y32+Z32</f>
        <v>6116620</v>
      </c>
      <c r="AB32" s="47">
        <f>'[6]B-Prioritized Strategic Core'!$AD$36</f>
        <v>5075240</v>
      </c>
      <c r="AC32" s="47">
        <v>0</v>
      </c>
      <c r="AD32" s="47">
        <f>563920000/1000</f>
        <v>563920</v>
      </c>
      <c r="AE32" s="47">
        <v>0</v>
      </c>
      <c r="AF32" s="47">
        <v>0</v>
      </c>
      <c r="AG32" s="51">
        <f>AB32+AC32+AD32+AE32+AF32</f>
        <v>5639160</v>
      </c>
      <c r="AH32" s="47">
        <f t="shared" ref="AH32:AM32" si="7">J32+P32+V32+AB32</f>
        <v>16683750</v>
      </c>
      <c r="AI32" s="47">
        <f t="shared" si="7"/>
        <v>0</v>
      </c>
      <c r="AJ32" s="47">
        <f t="shared" si="7"/>
        <v>1853750</v>
      </c>
      <c r="AK32" s="47">
        <f t="shared" si="7"/>
        <v>0</v>
      </c>
      <c r="AL32" s="47">
        <f t="shared" si="7"/>
        <v>0</v>
      </c>
      <c r="AM32" s="47">
        <f t="shared" si="7"/>
        <v>18537500</v>
      </c>
      <c r="AN32" s="50"/>
      <c r="AO32" s="50"/>
      <c r="AP32" s="50"/>
      <c r="AQ32" s="50"/>
      <c r="AR32" s="50"/>
      <c r="AS32" s="48"/>
      <c r="AT32" s="48">
        <f>AH32+AN32</f>
        <v>16683750</v>
      </c>
      <c r="AU32" s="48"/>
      <c r="AV32" s="48">
        <f t="shared" ref="AV32:AX33" si="8">AJ32+AP32</f>
        <v>1853750</v>
      </c>
      <c r="AW32" s="48">
        <f t="shared" si="8"/>
        <v>0</v>
      </c>
      <c r="AX32" s="48">
        <f t="shared" si="8"/>
        <v>0</v>
      </c>
      <c r="AY32" s="48">
        <f>AT32+AU32+AV32+AW32+AX32</f>
        <v>18537500</v>
      </c>
    </row>
    <row r="33" spans="1:51" ht="135.75" customHeight="1">
      <c r="A33" s="1" t="s">
        <v>139</v>
      </c>
      <c r="B33" s="5" t="s">
        <v>78</v>
      </c>
      <c r="C33" s="1" t="s">
        <v>83</v>
      </c>
      <c r="D33" s="5" t="s">
        <v>53</v>
      </c>
      <c r="E33" s="5" t="s">
        <v>62</v>
      </c>
      <c r="F33" s="5">
        <v>4</v>
      </c>
      <c r="G33" s="5" t="s">
        <v>59</v>
      </c>
      <c r="H33" s="1" t="s">
        <v>163</v>
      </c>
      <c r="I33" s="5" t="s">
        <v>167</v>
      </c>
      <c r="J33" s="47">
        <v>0</v>
      </c>
      <c r="K33" s="47">
        <v>0</v>
      </c>
      <c r="L33" s="47">
        <v>0</v>
      </c>
      <c r="M33" s="47">
        <v>0</v>
      </c>
      <c r="N33" s="47">
        <v>0</v>
      </c>
      <c r="O33" s="47">
        <v>0</v>
      </c>
      <c r="P33" s="47">
        <f>508624200/1000</f>
        <v>508624.2</v>
      </c>
      <c r="Q33" s="47">
        <v>0</v>
      </c>
      <c r="R33" s="47">
        <f>28740600/1000</f>
        <v>28740.6</v>
      </c>
      <c r="S33" s="47">
        <f>11831400/1000</f>
        <v>11831.4</v>
      </c>
      <c r="T33" s="47">
        <f>9639000/1000</f>
        <v>9639</v>
      </c>
      <c r="U33" s="47">
        <f>P33+Q33+R33+S33+T33</f>
        <v>558835.20000000007</v>
      </c>
      <c r="V33" s="47">
        <f>456577800/1000</f>
        <v>456577.8</v>
      </c>
      <c r="W33" s="47">
        <v>0</v>
      </c>
      <c r="X33" s="47">
        <f>40601400/1000</f>
        <v>40601.4</v>
      </c>
      <c r="Y33" s="47">
        <f>9912000/1000</f>
        <v>9912</v>
      </c>
      <c r="Z33" s="47">
        <f>19882800/1000</f>
        <v>19882.8</v>
      </c>
      <c r="AA33" s="47">
        <f>V33+W33+X33+Y33+Z33</f>
        <v>526974</v>
      </c>
      <c r="AB33" s="47">
        <f>524370000/1000</f>
        <v>524370</v>
      </c>
      <c r="AC33" s="47">
        <v>0</v>
      </c>
      <c r="AD33" s="47">
        <f>47947200/1000</f>
        <v>47947.199999999997</v>
      </c>
      <c r="AE33" s="47">
        <f>2184000/1000</f>
        <v>2184</v>
      </c>
      <c r="AF33" s="47">
        <f>26279400/1000</f>
        <v>26279.4</v>
      </c>
      <c r="AG33" s="47">
        <f>AB33+AC33+AD33+AE33+AF33</f>
        <v>600780.6</v>
      </c>
      <c r="AH33" s="47">
        <f>J33+P33+V33+AB33</f>
        <v>1489572</v>
      </c>
      <c r="AI33" s="47">
        <f t="shared" ref="AI33:AL34" si="9">K33+Q33+W33+AC33</f>
        <v>0</v>
      </c>
      <c r="AJ33" s="47">
        <f t="shared" si="9"/>
        <v>117289.2</v>
      </c>
      <c r="AK33" s="47">
        <f t="shared" si="9"/>
        <v>23927.4</v>
      </c>
      <c r="AL33" s="47">
        <f t="shared" si="9"/>
        <v>55801.2</v>
      </c>
      <c r="AM33" s="47">
        <f>O33+U33+AA33+AG33</f>
        <v>1686589.8000000003</v>
      </c>
      <c r="AN33" s="47">
        <f>'[4]Breakdown 2017 and beyond'!$DH$12/1000</f>
        <v>975130.8</v>
      </c>
      <c r="AO33" s="50"/>
      <c r="AP33" s="48">
        <f>'[4]Breakdown 2017 and beyond'!$DK$12/1000</f>
        <v>114231.6</v>
      </c>
      <c r="AQ33" s="48">
        <f>'[4]Breakdown 2017 and beyond'!$DL$12/1000</f>
        <v>928.2</v>
      </c>
      <c r="AR33" s="48">
        <f>'[4]Breakdown 2017 and beyond'!$DJ$12/1000</f>
        <v>30857.4</v>
      </c>
      <c r="AS33" s="48">
        <f>AN33+AO33+AP33+AQ33+AR33</f>
        <v>1121148</v>
      </c>
      <c r="AT33" s="48">
        <f>AH33+AN33</f>
        <v>2464702.7999999998</v>
      </c>
      <c r="AU33" s="48"/>
      <c r="AV33" s="48">
        <f t="shared" si="8"/>
        <v>231520.8</v>
      </c>
      <c r="AW33" s="48">
        <f t="shared" si="8"/>
        <v>24855.600000000002</v>
      </c>
      <c r="AX33" s="48">
        <f t="shared" si="8"/>
        <v>86658.6</v>
      </c>
      <c r="AY33" s="48">
        <f>AT33+AU33+AV33+AW33+AX33</f>
        <v>2807737.8</v>
      </c>
    </row>
    <row r="34" spans="1:51" ht="178.5">
      <c r="A34" s="1" t="s">
        <v>141</v>
      </c>
      <c r="B34" s="5" t="s">
        <v>107</v>
      </c>
      <c r="C34" s="1" t="s">
        <v>106</v>
      </c>
      <c r="D34" s="5" t="s">
        <v>53</v>
      </c>
      <c r="E34" s="5" t="s">
        <v>108</v>
      </c>
      <c r="F34" s="5">
        <v>4</v>
      </c>
      <c r="G34" s="5">
        <v>7</v>
      </c>
      <c r="H34" s="1" t="s">
        <v>132</v>
      </c>
      <c r="I34" s="5">
        <v>2015</v>
      </c>
      <c r="J34" s="47"/>
      <c r="K34" s="47"/>
      <c r="L34" s="47"/>
      <c r="M34" s="47"/>
      <c r="N34" s="47"/>
      <c r="O34" s="47"/>
      <c r="P34" s="47"/>
      <c r="Q34" s="47"/>
      <c r="R34" s="47"/>
      <c r="S34" s="47"/>
      <c r="T34" s="47"/>
      <c r="U34" s="47"/>
      <c r="V34" s="47"/>
      <c r="W34" s="47"/>
      <c r="X34" s="47"/>
      <c r="Y34" s="47"/>
      <c r="Z34" s="47"/>
      <c r="AA34" s="47"/>
      <c r="AB34" s="47">
        <v>500000</v>
      </c>
      <c r="AC34" s="47"/>
      <c r="AD34" s="47"/>
      <c r="AE34" s="47"/>
      <c r="AF34" s="47">
        <v>500000</v>
      </c>
      <c r="AG34" s="47">
        <f>AB34+AC34+AD34+AE34+AF34</f>
        <v>1000000</v>
      </c>
      <c r="AH34" s="47">
        <f>J34+P34+V34+AB34</f>
        <v>500000</v>
      </c>
      <c r="AI34" s="47"/>
      <c r="AJ34" s="47"/>
      <c r="AK34" s="47"/>
      <c r="AL34" s="47">
        <f t="shared" si="9"/>
        <v>500000</v>
      </c>
      <c r="AM34" s="47">
        <f>O34+U34+AA34+AG34</f>
        <v>1000000</v>
      </c>
      <c r="AN34" s="47">
        <v>0</v>
      </c>
      <c r="AO34" s="50"/>
      <c r="AP34" s="50"/>
      <c r="AQ34" s="50"/>
      <c r="AR34" s="50"/>
      <c r="AS34" s="48">
        <f>AN34+AO34+AP34+AQ34+AR34</f>
        <v>0</v>
      </c>
      <c r="AT34" s="48">
        <f>AH34+AN34</f>
        <v>500000</v>
      </c>
      <c r="AU34" s="48">
        <f>AJ34+AP34</f>
        <v>0</v>
      </c>
      <c r="AV34" s="48">
        <f>AJ34+AP34</f>
        <v>0</v>
      </c>
      <c r="AW34" s="50"/>
      <c r="AX34" s="48">
        <f>AL34</f>
        <v>500000</v>
      </c>
      <c r="AY34" s="48">
        <f>AT34+AU34+AV34+AW34+AX34</f>
        <v>1000000</v>
      </c>
    </row>
    <row r="35" spans="1:51" ht="13.5" customHeight="1">
      <c r="A35" s="1" t="s">
        <v>97</v>
      </c>
      <c r="B35" s="5"/>
      <c r="C35" s="27"/>
      <c r="D35" s="5"/>
      <c r="E35" s="5"/>
      <c r="F35" s="5"/>
      <c r="G35" s="5"/>
      <c r="H35" s="1"/>
      <c r="I35" s="5"/>
      <c r="J35" s="52">
        <f t="shared" ref="J35:T35" si="10">J14+J15+J16+J17</f>
        <v>98030</v>
      </c>
      <c r="K35" s="52">
        <f t="shared" si="10"/>
        <v>0</v>
      </c>
      <c r="L35" s="52">
        <f t="shared" si="10"/>
        <v>0</v>
      </c>
      <c r="M35" s="52">
        <f t="shared" si="10"/>
        <v>16660</v>
      </c>
      <c r="N35" s="52">
        <f t="shared" si="10"/>
        <v>0</v>
      </c>
      <c r="O35" s="52">
        <f t="shared" si="10"/>
        <v>114690</v>
      </c>
      <c r="P35" s="52">
        <f t="shared" si="10"/>
        <v>1222340</v>
      </c>
      <c r="Q35" s="52">
        <f t="shared" si="10"/>
        <v>0</v>
      </c>
      <c r="R35" s="52">
        <f t="shared" si="10"/>
        <v>0</v>
      </c>
      <c r="S35" s="52">
        <f t="shared" si="10"/>
        <v>16080</v>
      </c>
      <c r="T35" s="52">
        <f t="shared" si="10"/>
        <v>0</v>
      </c>
      <c r="U35" s="52">
        <f>P35+Q35+R35+S35+T35</f>
        <v>1238420</v>
      </c>
      <c r="V35" s="52">
        <f t="shared" ref="V35:AL35" si="11">V14+V15+V16+V17</f>
        <v>3370392</v>
      </c>
      <c r="W35" s="52">
        <f t="shared" si="11"/>
        <v>0</v>
      </c>
      <c r="X35" s="52">
        <f t="shared" si="11"/>
        <v>0</v>
      </c>
      <c r="Y35" s="52">
        <f t="shared" si="11"/>
        <v>1630</v>
      </c>
      <c r="Z35" s="52">
        <f t="shared" si="11"/>
        <v>0</v>
      </c>
      <c r="AA35" s="52">
        <f t="shared" si="11"/>
        <v>3372022</v>
      </c>
      <c r="AB35" s="52">
        <f t="shared" si="11"/>
        <v>3818053</v>
      </c>
      <c r="AC35" s="52">
        <f t="shared" si="11"/>
        <v>0</v>
      </c>
      <c r="AD35" s="52">
        <f t="shared" si="11"/>
        <v>0</v>
      </c>
      <c r="AE35" s="52">
        <f t="shared" si="11"/>
        <v>0.71</v>
      </c>
      <c r="AF35" s="52">
        <f t="shared" si="11"/>
        <v>0</v>
      </c>
      <c r="AG35" s="52">
        <f t="shared" si="11"/>
        <v>3818053.71</v>
      </c>
      <c r="AH35" s="52">
        <f t="shared" si="11"/>
        <v>8508815</v>
      </c>
      <c r="AI35" s="52">
        <f t="shared" si="11"/>
        <v>0</v>
      </c>
      <c r="AJ35" s="52">
        <f t="shared" si="11"/>
        <v>0</v>
      </c>
      <c r="AK35" s="52">
        <f t="shared" si="11"/>
        <v>34370.71</v>
      </c>
      <c r="AL35" s="52">
        <f t="shared" si="11"/>
        <v>0</v>
      </c>
      <c r="AM35" s="52">
        <f>AM14+AM15+AM16+AM17</f>
        <v>8543185.7100000009</v>
      </c>
      <c r="AN35" s="50">
        <f>AN14+AN15+AN16</f>
        <v>8666496</v>
      </c>
      <c r="AO35" s="50">
        <f>AO14+AO15+AO16</f>
        <v>0</v>
      </c>
      <c r="AP35" s="50">
        <f>AP14+AP15+AP16</f>
        <v>0</v>
      </c>
      <c r="AQ35" s="50">
        <f>AQ14+AQ15+AQ16</f>
        <v>0</v>
      </c>
      <c r="AR35" s="50">
        <f>AR14+AR15+AR16</f>
        <v>0</v>
      </c>
      <c r="AS35" s="48">
        <f>AN35+AO35+AP35+AQ35+AR35</f>
        <v>8666496</v>
      </c>
      <c r="AT35" s="48">
        <f t="shared" ref="AT35:AY35" si="12">AT14+AT15+AT16+AT17</f>
        <v>17175311</v>
      </c>
      <c r="AU35" s="48">
        <f t="shared" si="12"/>
        <v>0</v>
      </c>
      <c r="AV35" s="48">
        <f t="shared" si="12"/>
        <v>0</v>
      </c>
      <c r="AW35" s="48">
        <f t="shared" si="12"/>
        <v>34370.71</v>
      </c>
      <c r="AX35" s="48">
        <f t="shared" si="12"/>
        <v>0</v>
      </c>
      <c r="AY35" s="48">
        <f t="shared" si="12"/>
        <v>17209681.710000001</v>
      </c>
    </row>
    <row r="36" spans="1:51">
      <c r="A36" s="1" t="s">
        <v>96</v>
      </c>
      <c r="B36" s="14"/>
      <c r="C36" s="15"/>
      <c r="D36" s="15"/>
      <c r="E36" s="14"/>
      <c r="F36" s="16"/>
      <c r="G36" s="16"/>
      <c r="H36" s="16"/>
      <c r="I36" s="5"/>
      <c r="J36" s="53">
        <f t="shared" ref="J36:O36" si="13">J9+J12+J21+J22+J24+J32+J33</f>
        <v>2370030</v>
      </c>
      <c r="K36" s="53">
        <f t="shared" si="13"/>
        <v>0</v>
      </c>
      <c r="L36" s="53">
        <f t="shared" si="13"/>
        <v>246160</v>
      </c>
      <c r="M36" s="53">
        <f t="shared" si="13"/>
        <v>17840</v>
      </c>
      <c r="N36" s="53">
        <f t="shared" si="13"/>
        <v>0</v>
      </c>
      <c r="O36" s="53">
        <f t="shared" si="13"/>
        <v>2634030</v>
      </c>
      <c r="P36" s="53">
        <f>P11+P12+P21+P22+P24+P32+P33</f>
        <v>8907194.1999999993</v>
      </c>
      <c r="Q36" s="53">
        <f>Q11+Q12+Q21+Q22+Q24+Q32+Q33</f>
        <v>0</v>
      </c>
      <c r="R36" s="53">
        <f>R11+R12+R21+R22+R24+R32+R33</f>
        <v>672750.6</v>
      </c>
      <c r="S36" s="53">
        <f>S11+S12+S21+S22+S24+S32+S33</f>
        <v>19091.400000000001</v>
      </c>
      <c r="T36" s="53">
        <f>T11+T12+T21+T22+T24+T32+T33</f>
        <v>259639</v>
      </c>
      <c r="U36" s="52">
        <f>P36+Q36+R36+S36+T36</f>
        <v>9858675.1999999993</v>
      </c>
      <c r="V36" s="53">
        <f t="shared" ref="V36:AA36" si="14">V9+V12+V21+V22+V24+V32+V33</f>
        <v>7215225.8480000002</v>
      </c>
      <c r="W36" s="53">
        <f t="shared" si="14"/>
        <v>0</v>
      </c>
      <c r="X36" s="53">
        <f t="shared" si="14"/>
        <v>818261.4</v>
      </c>
      <c r="Y36" s="53">
        <f t="shared" si="14"/>
        <v>40162</v>
      </c>
      <c r="Z36" s="53">
        <f t="shared" si="14"/>
        <v>169882.8</v>
      </c>
      <c r="AA36" s="53">
        <f t="shared" si="14"/>
        <v>8243532.0480000004</v>
      </c>
      <c r="AB36" s="53">
        <f>AB9+AB12+AB21+AB22+AB24+AB32+AB33+AB34</f>
        <v>8158358.3480000002</v>
      </c>
      <c r="AC36" s="53">
        <f>AC9+AC12+AC21+AC22+AC24+AC32+AC33</f>
        <v>0</v>
      </c>
      <c r="AD36" s="53">
        <f>AD9+AD12+AD21+AD22+AD24+AD32+AD33</f>
        <v>895867.2</v>
      </c>
      <c r="AE36" s="53">
        <f>AE9+AE12+AE21+AE22+AE24+AE32+AE33</f>
        <v>68124</v>
      </c>
      <c r="AF36" s="53">
        <f>AF9+AF12+AF21+AF22+AF24+AF32+AF33+AF34</f>
        <v>676279.4</v>
      </c>
      <c r="AG36" s="53">
        <f>AG9+AG12+AG21+AG22+AG24+AG32+AG33+AG34</f>
        <v>9798628.9480000008</v>
      </c>
      <c r="AH36" s="53">
        <f>J36+P36+V36+AB36</f>
        <v>26650808.396000002</v>
      </c>
      <c r="AI36" s="53">
        <f>K36+Q36+W36+AC36</f>
        <v>0</v>
      </c>
      <c r="AJ36" s="53">
        <f>L36+R36+X36+AD36</f>
        <v>2633039.2000000002</v>
      </c>
      <c r="AK36" s="53">
        <f>M36+S36+Y36+AE36</f>
        <v>145217.4</v>
      </c>
      <c r="AL36" s="53">
        <f>N36+T36+Z36+AF36</f>
        <v>1105801.2</v>
      </c>
      <c r="AM36" s="53">
        <f>AM9+AM11+AM12++AM21+AM22+AM24+AM32+AM33+AM34</f>
        <v>30534866.195999999</v>
      </c>
      <c r="AN36" s="53">
        <f t="shared" ref="AN36:AS36" si="15">AN21+AN22+AN24+AN32+AN33+AN12</f>
        <v>6640879.602</v>
      </c>
      <c r="AO36" s="53">
        <f t="shared" si="15"/>
        <v>0</v>
      </c>
      <c r="AP36" s="53">
        <f t="shared" si="15"/>
        <v>682231.6</v>
      </c>
      <c r="AQ36" s="53">
        <f t="shared" si="15"/>
        <v>201078.2</v>
      </c>
      <c r="AR36" s="53">
        <f t="shared" si="15"/>
        <v>330857.40000000002</v>
      </c>
      <c r="AS36" s="53">
        <f t="shared" si="15"/>
        <v>7855046.8020000001</v>
      </c>
      <c r="AT36" s="48">
        <f t="shared" ref="AT36:AY36" si="16">AT11+AT12+AT21+AT22+AT24+AT32+AT33+AT34</f>
        <v>33291687.998</v>
      </c>
      <c r="AU36" s="48">
        <f t="shared" si="16"/>
        <v>0</v>
      </c>
      <c r="AV36" s="48">
        <f t="shared" si="16"/>
        <v>3315270.8</v>
      </c>
      <c r="AW36" s="48">
        <f t="shared" si="16"/>
        <v>346295.6</v>
      </c>
      <c r="AX36" s="48">
        <f t="shared" si="16"/>
        <v>1436658.6</v>
      </c>
      <c r="AY36" s="48">
        <f t="shared" si="16"/>
        <v>38389912.997999996</v>
      </c>
    </row>
    <row r="37" spans="1:51">
      <c r="A37" s="34" t="s">
        <v>140</v>
      </c>
      <c r="B37" s="36"/>
      <c r="C37" s="37"/>
      <c r="D37" s="37"/>
      <c r="E37" s="36"/>
      <c r="F37" s="38"/>
      <c r="G37" s="38"/>
      <c r="H37" s="38"/>
      <c r="I37" s="35"/>
      <c r="J37" s="54">
        <f>J35+J36</f>
        <v>2468060</v>
      </c>
      <c r="K37" s="54">
        <f t="shared" ref="K37:AM37" si="17">K35+K36</f>
        <v>0</v>
      </c>
      <c r="L37" s="54">
        <f t="shared" si="17"/>
        <v>246160</v>
      </c>
      <c r="M37" s="54">
        <f t="shared" si="17"/>
        <v>34500</v>
      </c>
      <c r="N37" s="54">
        <f t="shared" si="17"/>
        <v>0</v>
      </c>
      <c r="O37" s="54">
        <f t="shared" si="17"/>
        <v>2748720</v>
      </c>
      <c r="P37" s="54">
        <f t="shared" si="17"/>
        <v>10129534.199999999</v>
      </c>
      <c r="Q37" s="54">
        <f t="shared" si="17"/>
        <v>0</v>
      </c>
      <c r="R37" s="54">
        <f t="shared" si="17"/>
        <v>672750.6</v>
      </c>
      <c r="S37" s="54">
        <f t="shared" si="17"/>
        <v>35171.4</v>
      </c>
      <c r="T37" s="54">
        <f t="shared" si="17"/>
        <v>259639</v>
      </c>
      <c r="U37" s="55">
        <f>U35+U36</f>
        <v>11097095.199999999</v>
      </c>
      <c r="V37" s="54">
        <f t="shared" si="17"/>
        <v>10585617.848000001</v>
      </c>
      <c r="W37" s="54">
        <f t="shared" si="17"/>
        <v>0</v>
      </c>
      <c r="X37" s="54">
        <f t="shared" si="17"/>
        <v>818261.4</v>
      </c>
      <c r="Y37" s="54">
        <f t="shared" si="17"/>
        <v>41792</v>
      </c>
      <c r="Z37" s="54">
        <f t="shared" si="17"/>
        <v>169882.8</v>
      </c>
      <c r="AA37" s="54">
        <f t="shared" si="17"/>
        <v>11615554.048</v>
      </c>
      <c r="AB37" s="54">
        <f t="shared" si="17"/>
        <v>11976411.348000001</v>
      </c>
      <c r="AC37" s="54">
        <f t="shared" si="17"/>
        <v>0</v>
      </c>
      <c r="AD37" s="54">
        <f t="shared" si="17"/>
        <v>895867.2</v>
      </c>
      <c r="AE37" s="54">
        <f t="shared" si="17"/>
        <v>68124.710000000006</v>
      </c>
      <c r="AF37" s="54">
        <f t="shared" si="17"/>
        <v>676279.4</v>
      </c>
      <c r="AG37" s="54">
        <f t="shared" si="17"/>
        <v>13616682.658</v>
      </c>
      <c r="AH37" s="54">
        <f t="shared" si="17"/>
        <v>35159623.395999998</v>
      </c>
      <c r="AI37" s="54">
        <f t="shared" si="17"/>
        <v>0</v>
      </c>
      <c r="AJ37" s="54">
        <f t="shared" si="17"/>
        <v>2633039.2000000002</v>
      </c>
      <c r="AK37" s="54">
        <f t="shared" si="17"/>
        <v>179588.11</v>
      </c>
      <c r="AL37" s="54">
        <f t="shared" si="17"/>
        <v>1105801.2</v>
      </c>
      <c r="AM37" s="54">
        <f t="shared" si="17"/>
        <v>39078051.906000003</v>
      </c>
      <c r="AN37" s="54">
        <f>AN35+AN36</f>
        <v>15307375.602</v>
      </c>
      <c r="AO37" s="54">
        <f>AO35+AO36</f>
        <v>0</v>
      </c>
      <c r="AP37" s="54">
        <f>AP35+AP36</f>
        <v>682231.6</v>
      </c>
      <c r="AQ37" s="54">
        <f>AQ35+AQ36</f>
        <v>201078.2</v>
      </c>
      <c r="AR37" s="54">
        <f>AR35+AR36</f>
        <v>330857.40000000002</v>
      </c>
      <c r="AS37" s="56">
        <f>AN37+AO37+AP37+AQ37+AR37</f>
        <v>16521542.801999999</v>
      </c>
      <c r="AT37" s="56">
        <f t="shared" ref="AT37:AY37" si="18">AT35+AT36</f>
        <v>50466998.997999996</v>
      </c>
      <c r="AU37" s="56">
        <f t="shared" si="18"/>
        <v>0</v>
      </c>
      <c r="AV37" s="56">
        <f t="shared" si="18"/>
        <v>3315270.8</v>
      </c>
      <c r="AW37" s="56">
        <f t="shared" si="18"/>
        <v>380666.31</v>
      </c>
      <c r="AX37" s="56">
        <f t="shared" si="18"/>
        <v>1436658.6</v>
      </c>
      <c r="AY37" s="56">
        <f t="shared" si="18"/>
        <v>55599594.707999997</v>
      </c>
    </row>
    <row r="38" spans="1:51" ht="63.75">
      <c r="A38" s="65" t="s">
        <v>165</v>
      </c>
      <c r="B38" s="65"/>
      <c r="C38" s="65"/>
      <c r="D38" s="65"/>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T38" s="69"/>
    </row>
    <row r="39" spans="1:51" ht="12.75" customHeight="1">
      <c r="A39" s="60" t="s">
        <v>111</v>
      </c>
      <c r="B39" s="60"/>
      <c r="C39" s="60"/>
      <c r="D39" s="63"/>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S39" s="25"/>
      <c r="AY39" s="25"/>
    </row>
    <row r="40" spans="1:51" ht="13.5" customHeight="1">
      <c r="A40" s="30" t="s">
        <v>112</v>
      </c>
      <c r="B40" s="64"/>
      <c r="C40" s="63"/>
      <c r="D40" s="63"/>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row>
    <row r="41" spans="1:51" ht="38.25">
      <c r="A41" s="30" t="s">
        <v>113</v>
      </c>
      <c r="B41" s="30"/>
      <c r="C41" s="30"/>
      <c r="D41" s="3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X41" s="25"/>
      <c r="AY41" s="25"/>
    </row>
    <row r="42" spans="1:51" s="18" customFormat="1" ht="51">
      <c r="A42" s="30" t="s">
        <v>114</v>
      </c>
      <c r="B42" s="30"/>
      <c r="C42" s="30"/>
      <c r="D42" s="30"/>
      <c r="I42" s="21"/>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S42" s="26"/>
      <c r="AV42" s="26"/>
      <c r="AX42" s="26"/>
    </row>
    <row r="43" spans="1:51" ht="25.5">
      <c r="A43" s="30" t="s">
        <v>115</v>
      </c>
      <c r="B43" s="30"/>
      <c r="C43" s="63"/>
      <c r="D43" s="63"/>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S43" s="25"/>
      <c r="AV43" s="25"/>
      <c r="AY43" s="25"/>
    </row>
    <row r="44" spans="1:51">
      <c r="A44" s="21"/>
      <c r="B44" s="21"/>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V44" s="25"/>
    </row>
    <row r="45" spans="1:51">
      <c r="B45" s="22"/>
      <c r="C45" s="22"/>
      <c r="D45" s="22"/>
      <c r="E45" s="22"/>
      <c r="F45" s="22"/>
      <c r="G45" s="22"/>
      <c r="H45" s="22"/>
      <c r="I45" s="22"/>
      <c r="AE45" s="2"/>
      <c r="AF45" s="2"/>
      <c r="AG45" s="2"/>
      <c r="AH45" s="2"/>
      <c r="AI45" s="2"/>
      <c r="AJ45" s="2"/>
      <c r="AK45" s="2"/>
      <c r="AL45" s="2"/>
      <c r="AM45" s="2"/>
      <c r="AN45" s="25"/>
    </row>
    <row r="46" spans="1:51" ht="29.25" customHeight="1">
      <c r="B46" s="22"/>
      <c r="C46" s="22"/>
      <c r="D46" s="22"/>
      <c r="E46" s="22"/>
      <c r="F46" s="22"/>
      <c r="G46" s="22"/>
      <c r="H46" s="22"/>
      <c r="I46" s="22"/>
      <c r="AE46" s="2"/>
      <c r="AF46" s="2"/>
      <c r="AG46" s="2"/>
      <c r="AH46" s="2"/>
      <c r="AI46" s="2"/>
      <c r="AJ46" s="2"/>
      <c r="AK46" s="2"/>
      <c r="AL46" s="25"/>
      <c r="AM46" s="2"/>
      <c r="AN46" s="2"/>
    </row>
    <row r="47" spans="1:51" ht="27" customHeight="1">
      <c r="B47" s="22"/>
      <c r="C47" s="22"/>
      <c r="D47" s="22"/>
      <c r="E47" s="22"/>
      <c r="F47" s="22"/>
      <c r="G47" s="22"/>
      <c r="H47" s="22"/>
      <c r="I47" s="22"/>
      <c r="AE47" s="2"/>
      <c r="AF47" s="2"/>
      <c r="AG47" s="2"/>
      <c r="AH47" s="2"/>
      <c r="AI47" s="2"/>
      <c r="AJ47" s="2"/>
      <c r="AK47" s="2"/>
      <c r="AL47" s="2"/>
      <c r="AM47" s="2"/>
      <c r="AN47" s="2"/>
    </row>
    <row r="48" spans="1:51" ht="12.75" customHeight="1">
      <c r="B48" s="22"/>
      <c r="C48" s="22"/>
      <c r="D48" s="22"/>
      <c r="E48" s="22"/>
      <c r="F48" s="22"/>
      <c r="G48" s="22"/>
      <c r="H48" s="22"/>
      <c r="I48" s="22"/>
      <c r="AE48" s="2"/>
      <c r="AF48" s="2"/>
      <c r="AG48" s="2"/>
      <c r="AH48" s="2"/>
      <c r="AI48" s="2"/>
      <c r="AJ48" s="2"/>
      <c r="AK48" s="2"/>
      <c r="AL48" s="2"/>
      <c r="AM48" s="2"/>
      <c r="AN48" s="2"/>
    </row>
  </sheetData>
  <mergeCells count="24">
    <mergeCell ref="AN2:AS2"/>
    <mergeCell ref="G1:G3"/>
    <mergeCell ref="AT2:AY2"/>
    <mergeCell ref="V2:AA2"/>
    <mergeCell ref="AT1:AY1"/>
    <mergeCell ref="AN1:AS1"/>
    <mergeCell ref="J2:O2"/>
    <mergeCell ref="I1:I3"/>
    <mergeCell ref="H1:H3"/>
    <mergeCell ref="AH2:AM2"/>
    <mergeCell ref="AH1:AM1"/>
    <mergeCell ref="E2:E3"/>
    <mergeCell ref="P2:U2"/>
    <mergeCell ref="A1:A3"/>
    <mergeCell ref="AB2:AG2"/>
    <mergeCell ref="B1:B3"/>
    <mergeCell ref="C1:C3"/>
    <mergeCell ref="D1:E1"/>
    <mergeCell ref="D2:D3"/>
    <mergeCell ref="F1:F3"/>
    <mergeCell ref="J1:O1"/>
    <mergeCell ref="P1:U1"/>
    <mergeCell ref="V1:AA1"/>
    <mergeCell ref="AB1:AG1"/>
  </mergeCells>
  <printOptions horizontalCentered="1"/>
  <pageMargins left="0.33" right="0.36" top="0.75" bottom="0.75" header="0.3" footer="0.3"/>
  <pageSetup paperSize="9" scale="70" pageOrder="overThenDown" orientation="landscape" r:id="rId1"/>
  <headerFooter>
    <oddHeader>&amp;C&amp;"Arial,Bold"&amp;12Chapter 4: Competitive and Sustainable Agriculture and Fisheries Sector
Annex B: List of Strategic Core Investment Programs and Projects (CIPs) with Annual Investment Targets By Source of Financing</oddHeader>
    <oddFooter>&amp;C&amp;"Arial,Bold"&amp;12 2011-2016 Revalidated Public Investment Program &amp;RPage &amp;P of &amp;N</oddFooter>
  </headerFooter>
  <colBreaks count="7" manualBreakCount="7">
    <brk id="9" max="42" man="1"/>
    <brk id="15" max="42" man="1"/>
    <brk id="21" max="42" man="1"/>
    <brk id="27" max="42" man="1"/>
    <brk id="33" max="42" man="1"/>
    <brk id="39" max="42" man="1"/>
    <brk id="45" max="4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8F81FD-33C6-4453-818F-9745682E89F9}"/>
</file>

<file path=customXml/itemProps2.xml><?xml version="1.0" encoding="utf-8"?>
<ds:datastoreItem xmlns:ds="http://schemas.openxmlformats.org/officeDocument/2006/customXml" ds:itemID="{C14E0BE8-9A44-481F-9FCE-A99056307C7E}"/>
</file>

<file path=customXml/itemProps3.xml><?xml version="1.0" encoding="utf-8"?>
<ds:datastoreItem xmlns:ds="http://schemas.openxmlformats.org/officeDocument/2006/customXml" ds:itemID="{B9A7A28C-C171-4952-9321-4ABED4FF36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Chapter 4 Annex B</vt:lpstr>
      <vt:lpstr>'Chapter 4 Annex B'!Print_Area</vt:lpstr>
      <vt:lpstr>'Chapter 4 Annex B'!Print_Titles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2014-10-09T06:56:16Z</cp:lastPrinted>
  <dcterms:created xsi:type="dcterms:W3CDTF">2013-02-28T05:46:30Z</dcterms:created>
  <dcterms:modified xsi:type="dcterms:W3CDTF">2014-10-09T06:56:26Z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