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050" yWindow="-75" windowWidth="9555" windowHeight="11760" tabRatio="825" firstSheet="1" activeTab="1"/>
  </bookViews>
  <sheets>
    <sheet name="PIP" sheetId="15" state="hidden" r:id="rId1"/>
    <sheet name="Chapter 6 Annex B" sheetId="23" r:id="rId2"/>
    <sheet name="Annex B2-Non CIP" sheetId="16" state="hidden" r:id="rId3"/>
    <sheet name="Housing Summary PAPS" sheetId="25" state="hidden" r:id="rId4"/>
    <sheet name="DOH Summary PAPs" sheetId="21" state="hidden" r:id="rId5"/>
    <sheet name="Educ Summary PAPS" sheetId="22" state="hidden" r:id="rId6"/>
    <sheet name="Educ Summary PAPS (2)" sheetId="29" state="hidden" r:id="rId7"/>
    <sheet name="SWCD Summary PAPs" sheetId="24" state="hidden" r:id="rId8"/>
    <sheet name="DSWD Investment Target" sheetId="34" state="hidden" r:id="rId9"/>
  </sheets>
  <externalReferences>
    <externalReference r:id="rId10"/>
  </externalReferences>
  <definedNames>
    <definedName name="_ftn1" localSheetId="2">'Annex B2-Non CIP'!$K$105</definedName>
    <definedName name="_ftnref1" localSheetId="2">'Annex B2-Non CIP'!$K$103</definedName>
    <definedName name="_Ref377544252" localSheetId="2">'Annex B2-Non CIP'!$K$103</definedName>
    <definedName name="_xlnm.Print_Area" localSheetId="2">'Annex B2-Non CIP'!$A$1:$AV$119</definedName>
    <definedName name="_xlnm.Print_Area" localSheetId="1">'Chapter 6 Annex B'!$A$1:$AY$22</definedName>
    <definedName name="_xlnm.Print_Titles" localSheetId="1">'Chapter 6 Annex B'!$A:$A,'Chapter 6 Annex B'!$1:$4</definedName>
  </definedNames>
  <calcPr calcId="125725"/>
</workbook>
</file>

<file path=xl/calcChain.xml><?xml version="1.0" encoding="utf-8"?>
<calcChain xmlns="http://schemas.openxmlformats.org/spreadsheetml/2006/main">
  <c r="AT21" i="23"/>
  <c r="AH21"/>
  <c r="AT17"/>
  <c r="AY17" s="1"/>
  <c r="AH17"/>
  <c r="AT11"/>
  <c r="AY11" s="1"/>
  <c r="AH11"/>
  <c r="AQ22"/>
  <c r="AK18"/>
  <c r="AH10"/>
  <c r="AT10" s="1"/>
  <c r="AB22"/>
  <c r="V22"/>
  <c r="P22"/>
  <c r="J22"/>
  <c r="O10"/>
  <c r="F10"/>
  <c r="F16"/>
  <c r="F17"/>
  <c r="F18"/>
  <c r="F21"/>
  <c r="N90" i="15"/>
  <c r="N91"/>
  <c r="O90"/>
  <c r="O91" s="1"/>
  <c r="P90"/>
  <c r="P91"/>
  <c r="Q90"/>
  <c r="Q91" s="1"/>
  <c r="S90"/>
  <c r="S91"/>
  <c r="T90"/>
  <c r="T91" s="1"/>
  <c r="U90"/>
  <c r="V90"/>
  <c r="V91" s="1"/>
  <c r="W90"/>
  <c r="W91" s="1"/>
  <c r="Y90"/>
  <c r="Y91" s="1"/>
  <c r="Z90"/>
  <c r="Z91" s="1"/>
  <c r="AA90"/>
  <c r="AA91" s="1"/>
  <c r="AB90"/>
  <c r="AC90"/>
  <c r="AC91" s="1"/>
  <c r="AE90"/>
  <c r="AE91" s="1"/>
  <c r="AF90"/>
  <c r="AF91"/>
  <c r="AG90"/>
  <c r="AG91" s="1"/>
  <c r="AH90"/>
  <c r="AH91"/>
  <c r="AI90"/>
  <c r="AI91" s="1"/>
  <c r="M90"/>
  <c r="M91"/>
  <c r="AO88"/>
  <c r="AN88"/>
  <c r="AM88"/>
  <c r="AP88" s="1"/>
  <c r="AL88"/>
  <c r="AK88"/>
  <c r="AJ88"/>
  <c r="AD88"/>
  <c r="X88"/>
  <c r="R88"/>
  <c r="AO87"/>
  <c r="AN87"/>
  <c r="AM87"/>
  <c r="AL87"/>
  <c r="AK87"/>
  <c r="AP87" s="1"/>
  <c r="AJ87"/>
  <c r="AD87"/>
  <c r="X87"/>
  <c r="R87"/>
  <c r="AO86"/>
  <c r="AN86"/>
  <c r="AM86"/>
  <c r="AP86" s="1"/>
  <c r="AL86"/>
  <c r="AK86"/>
  <c r="AJ86"/>
  <c r="AD86"/>
  <c r="X86"/>
  <c r="R86"/>
  <c r="AO85"/>
  <c r="AN85"/>
  <c r="AM85"/>
  <c r="AL85"/>
  <c r="AK85"/>
  <c r="AP85" s="1"/>
  <c r="AJ85"/>
  <c r="AD85"/>
  <c r="X85"/>
  <c r="R85"/>
  <c r="AO84"/>
  <c r="AN84"/>
  <c r="AM84"/>
  <c r="AP84" s="1"/>
  <c r="AL84"/>
  <c r="AK84"/>
  <c r="AJ84"/>
  <c r="AD84"/>
  <c r="X84"/>
  <c r="R84"/>
  <c r="AO83"/>
  <c r="AN83"/>
  <c r="AM83"/>
  <c r="AL83"/>
  <c r="AK83"/>
  <c r="AP83" s="1"/>
  <c r="AJ83"/>
  <c r="AD83"/>
  <c r="X83"/>
  <c r="R83"/>
  <c r="AO82"/>
  <c r="AN82"/>
  <c r="AM82"/>
  <c r="AP82" s="1"/>
  <c r="AL82"/>
  <c r="AK82"/>
  <c r="AJ82"/>
  <c r="AD82"/>
  <c r="X82"/>
  <c r="R82"/>
  <c r="AO81"/>
  <c r="AO90" s="1"/>
  <c r="AN81"/>
  <c r="AN90" s="1"/>
  <c r="AN91" s="1"/>
  <c r="AM81"/>
  <c r="AL81"/>
  <c r="AL90" s="1"/>
  <c r="AL91" s="1"/>
  <c r="AK81"/>
  <c r="AK90" s="1"/>
  <c r="AK91" s="1"/>
  <c r="AJ81"/>
  <c r="AD81"/>
  <c r="AD90" s="1"/>
  <c r="X81"/>
  <c r="R81"/>
  <c r="AP96"/>
  <c r="AP95"/>
  <c r="M76"/>
  <c r="M77" s="1"/>
  <c r="I20" i="25"/>
  <c r="J20"/>
  <c r="K20"/>
  <c r="L20"/>
  <c r="H20"/>
  <c r="I19"/>
  <c r="I22"/>
  <c r="J19"/>
  <c r="J22" s="1"/>
  <c r="K19"/>
  <c r="L19"/>
  <c r="L22" s="1"/>
  <c r="H19"/>
  <c r="H22"/>
  <c r="I18"/>
  <c r="J18"/>
  <c r="K18"/>
  <c r="L18"/>
  <c r="H18"/>
  <c r="M6"/>
  <c r="M7"/>
  <c r="M8"/>
  <c r="M9"/>
  <c r="M10"/>
  <c r="M5"/>
  <c r="C18"/>
  <c r="D18"/>
  <c r="E18"/>
  <c r="B18"/>
  <c r="C20"/>
  <c r="D20"/>
  <c r="E20"/>
  <c r="B20"/>
  <c r="C19"/>
  <c r="D19"/>
  <c r="E19"/>
  <c r="B19"/>
  <c r="C11"/>
  <c r="D11"/>
  <c r="E11"/>
  <c r="B11"/>
  <c r="L12"/>
  <c r="F6"/>
  <c r="F7"/>
  <c r="F19" s="1"/>
  <c r="F8"/>
  <c r="F9"/>
  <c r="F10"/>
  <c r="F20" s="1"/>
  <c r="F5"/>
  <c r="F18" s="1"/>
  <c r="AP81" i="15"/>
  <c r="D36" i="29"/>
  <c r="R72" i="16"/>
  <c r="G21" i="21"/>
  <c r="AU86" i="16"/>
  <c r="AT86"/>
  <c r="AS86"/>
  <c r="AQ86"/>
  <c r="AU64"/>
  <c r="AS64"/>
  <c r="AR64"/>
  <c r="AQ64"/>
  <c r="AU40"/>
  <c r="AT40"/>
  <c r="AS40"/>
  <c r="AR40"/>
  <c r="AQ40"/>
  <c r="AV40"/>
  <c r="U21" i="23"/>
  <c r="AD113" i="16"/>
  <c r="AD114"/>
  <c r="AD116"/>
  <c r="AD100"/>
  <c r="AD102"/>
  <c r="AD103"/>
  <c r="AD106"/>
  <c r="AD107"/>
  <c r="AD108"/>
  <c r="AS101"/>
  <c r="S64"/>
  <c r="V64"/>
  <c r="Y64"/>
  <c r="AB64"/>
  <c r="AE64"/>
  <c r="AE87" s="1"/>
  <c r="AH64"/>
  <c r="AH87" s="1"/>
  <c r="M64"/>
  <c r="P64"/>
  <c r="AJ113"/>
  <c r="AJ114"/>
  <c r="AJ116"/>
  <c r="AJ100"/>
  <c r="AJ102"/>
  <c r="AJ103"/>
  <c r="AJ106"/>
  <c r="AJ107"/>
  <c r="AJ108"/>
  <c r="R113"/>
  <c r="R114"/>
  <c r="R116"/>
  <c r="R100"/>
  <c r="R106"/>
  <c r="S122" s="1"/>
  <c r="R107"/>
  <c r="R108"/>
  <c r="X113"/>
  <c r="X114"/>
  <c r="X116"/>
  <c r="X100"/>
  <c r="X102"/>
  <c r="X103"/>
  <c r="X106"/>
  <c r="X107"/>
  <c r="X108"/>
  <c r="R102"/>
  <c r="AK105"/>
  <c r="AL105"/>
  <c r="AP105" s="1"/>
  <c r="AM105"/>
  <c r="AN105"/>
  <c r="AO105"/>
  <c r="H8" i="34"/>
  <c r="B8"/>
  <c r="G7"/>
  <c r="I7" s="1"/>
  <c r="G6"/>
  <c r="I6"/>
  <c r="E29"/>
  <c r="D29"/>
  <c r="C29"/>
  <c r="B29"/>
  <c r="F28"/>
  <c r="F27"/>
  <c r="F26"/>
  <c r="F25"/>
  <c r="F24"/>
  <c r="F23"/>
  <c r="F22"/>
  <c r="F21"/>
  <c r="F20"/>
  <c r="F19"/>
  <c r="F18"/>
  <c r="F17"/>
  <c r="F16"/>
  <c r="F15"/>
  <c r="F14"/>
  <c r="F13"/>
  <c r="F29"/>
  <c r="D14" i="24"/>
  <c r="D28" i="29"/>
  <c r="E28"/>
  <c r="E44"/>
  <c r="F6"/>
  <c r="E27" i="22"/>
  <c r="E41" s="1"/>
  <c r="D27"/>
  <c r="D41" s="1"/>
  <c r="B36" i="21"/>
  <c r="B35"/>
  <c r="B34"/>
  <c r="B37" s="1"/>
  <c r="B33"/>
  <c r="G31"/>
  <c r="F31"/>
  <c r="E31"/>
  <c r="D30"/>
  <c r="D29"/>
  <c r="D31" s="1"/>
  <c r="D28"/>
  <c r="D27"/>
  <c r="H17"/>
  <c r="C8"/>
  <c r="C9" s="1"/>
  <c r="C10" s="1"/>
  <c r="C11" s="1"/>
  <c r="C12" s="1"/>
  <c r="C13" s="1"/>
  <c r="C14" s="1"/>
  <c r="C16" s="1"/>
  <c r="C18" s="1"/>
  <c r="C19" s="1"/>
  <c r="B6"/>
  <c r="AI117" i="16"/>
  <c r="AH117"/>
  <c r="AG117"/>
  <c r="AF117"/>
  <c r="AE117"/>
  <c r="AC117"/>
  <c r="AB117"/>
  <c r="AA117"/>
  <c r="Z117"/>
  <c r="AD117"/>
  <c r="Y117"/>
  <c r="W117"/>
  <c r="V117"/>
  <c r="U117"/>
  <c r="T117"/>
  <c r="S117"/>
  <c r="Q117"/>
  <c r="P117"/>
  <c r="O117"/>
  <c r="N117"/>
  <c r="M117"/>
  <c r="R117"/>
  <c r="AO116"/>
  <c r="AN116"/>
  <c r="AM116"/>
  <c r="AL116"/>
  <c r="AK116"/>
  <c r="AO115"/>
  <c r="AN115"/>
  <c r="AM115"/>
  <c r="AP115" s="1"/>
  <c r="AL115"/>
  <c r="AK115"/>
  <c r="AJ115"/>
  <c r="AD115"/>
  <c r="X115"/>
  <c r="R115"/>
  <c r="AO114"/>
  <c r="AN114"/>
  <c r="AM114"/>
  <c r="AL114"/>
  <c r="AK114"/>
  <c r="AP114"/>
  <c r="AO113"/>
  <c r="AN113"/>
  <c r="AM113"/>
  <c r="AL113"/>
  <c r="AP113" s="1"/>
  <c r="AK113"/>
  <c r="AO110"/>
  <c r="AN110"/>
  <c r="AM110"/>
  <c r="AL110"/>
  <c r="AK110"/>
  <c r="AJ110"/>
  <c r="AD110"/>
  <c r="X110"/>
  <c r="R110"/>
  <c r="AO109"/>
  <c r="AN109"/>
  <c r="AM109"/>
  <c r="AL109"/>
  <c r="AK109"/>
  <c r="AP109" s="1"/>
  <c r="AJ109"/>
  <c r="X109"/>
  <c r="R109"/>
  <c r="AO108"/>
  <c r="AN108"/>
  <c r="AM108"/>
  <c r="AL108"/>
  <c r="AK108"/>
  <c r="AO107"/>
  <c r="AN107"/>
  <c r="AM107"/>
  <c r="AP107" s="1"/>
  <c r="AL107"/>
  <c r="AK107"/>
  <c r="AO106"/>
  <c r="AN106"/>
  <c r="AM106"/>
  <c r="AL106"/>
  <c r="AK106"/>
  <c r="AP104"/>
  <c r="AO103"/>
  <c r="AN103"/>
  <c r="AM103"/>
  <c r="AL103"/>
  <c r="AK103"/>
  <c r="AP103"/>
  <c r="AO102"/>
  <c r="AN102"/>
  <c r="AM102"/>
  <c r="AL102"/>
  <c r="AK102"/>
  <c r="AO101"/>
  <c r="AN101"/>
  <c r="AN117"/>
  <c r="AM101"/>
  <c r="AL101"/>
  <c r="AK101"/>
  <c r="AP101"/>
  <c r="AO100"/>
  <c r="AO117" s="1"/>
  <c r="AN100"/>
  <c r="AM100"/>
  <c r="AL100"/>
  <c r="AK100"/>
  <c r="AO97"/>
  <c r="AN97"/>
  <c r="AM97"/>
  <c r="AL97"/>
  <c r="AK90"/>
  <c r="AP90" s="1"/>
  <c r="AP97" s="1"/>
  <c r="AI97"/>
  <c r="AH97"/>
  <c r="AG97"/>
  <c r="AJ97"/>
  <c r="AF97"/>
  <c r="AE97"/>
  <c r="AC97"/>
  <c r="AB97"/>
  <c r="AA97"/>
  <c r="Z97"/>
  <c r="Y97"/>
  <c r="AD97"/>
  <c r="W97"/>
  <c r="V97"/>
  <c r="U97"/>
  <c r="T97"/>
  <c r="S97"/>
  <c r="R97"/>
  <c r="Q97"/>
  <c r="P97"/>
  <c r="O97"/>
  <c r="N97"/>
  <c r="M97"/>
  <c r="AP96"/>
  <c r="AJ96"/>
  <c r="AD96"/>
  <c r="X96"/>
  <c r="AP95"/>
  <c r="AJ95"/>
  <c r="AD95"/>
  <c r="X95"/>
  <c r="AP94"/>
  <c r="AJ94"/>
  <c r="AD94"/>
  <c r="X94"/>
  <c r="AP93"/>
  <c r="AJ93"/>
  <c r="AD93"/>
  <c r="X93"/>
  <c r="AP92"/>
  <c r="AJ92"/>
  <c r="AD92"/>
  <c r="X92"/>
  <c r="AP91"/>
  <c r="AJ91"/>
  <c r="AD91"/>
  <c r="X91"/>
  <c r="AJ90"/>
  <c r="AD90"/>
  <c r="X90"/>
  <c r="AO86"/>
  <c r="AN86"/>
  <c r="AM86"/>
  <c r="AL86"/>
  <c r="AK86"/>
  <c r="AP86"/>
  <c r="AP85"/>
  <c r="AJ85"/>
  <c r="AD85"/>
  <c r="X85"/>
  <c r="AP84"/>
  <c r="AJ84"/>
  <c r="AD84"/>
  <c r="X84"/>
  <c r="AP83"/>
  <c r="AP82"/>
  <c r="AP81"/>
  <c r="AI77"/>
  <c r="AH77"/>
  <c r="AG77"/>
  <c r="AF77"/>
  <c r="AJ77"/>
  <c r="AE77"/>
  <c r="AU75" s="1"/>
  <c r="AU77" s="1"/>
  <c r="AC77"/>
  <c r="AB77"/>
  <c r="AA77"/>
  <c r="Z77"/>
  <c r="AD77"/>
  <c r="Y77"/>
  <c r="W77"/>
  <c r="V77"/>
  <c r="U77"/>
  <c r="T77"/>
  <c r="S77"/>
  <c r="Q77"/>
  <c r="Q87" s="1"/>
  <c r="P77"/>
  <c r="P87" s="1"/>
  <c r="O77"/>
  <c r="N77"/>
  <c r="M77"/>
  <c r="AO76"/>
  <c r="AN76"/>
  <c r="AM76"/>
  <c r="AL76"/>
  <c r="AK76"/>
  <c r="AJ76"/>
  <c r="AD76"/>
  <c r="X76"/>
  <c r="R76"/>
  <c r="AO75"/>
  <c r="AN75"/>
  <c r="AM75"/>
  <c r="AL75"/>
  <c r="AK75"/>
  <c r="AP75" s="1"/>
  <c r="AJ75"/>
  <c r="AD75"/>
  <c r="X75"/>
  <c r="R75"/>
  <c r="AO74"/>
  <c r="AN74"/>
  <c r="AM74"/>
  <c r="AL74"/>
  <c r="AK74"/>
  <c r="AJ74"/>
  <c r="AD74"/>
  <c r="X74"/>
  <c r="R74"/>
  <c r="AO73"/>
  <c r="AN73"/>
  <c r="AM73"/>
  <c r="AL73"/>
  <c r="AK73"/>
  <c r="AJ73"/>
  <c r="AD73"/>
  <c r="X73"/>
  <c r="R73"/>
  <c r="AO72"/>
  <c r="AN72"/>
  <c r="AM72"/>
  <c r="AL72"/>
  <c r="AK72"/>
  <c r="AP72" s="1"/>
  <c r="AJ72"/>
  <c r="AD72"/>
  <c r="X72"/>
  <c r="AO71"/>
  <c r="AN71"/>
  <c r="AM71"/>
  <c r="AL71"/>
  <c r="AK71"/>
  <c r="AP71" s="1"/>
  <c r="AJ71"/>
  <c r="AD71"/>
  <c r="X71"/>
  <c r="R71"/>
  <c r="AO70"/>
  <c r="AN70"/>
  <c r="AM70"/>
  <c r="AL70"/>
  <c r="AK70"/>
  <c r="AP70" s="1"/>
  <c r="AJ70"/>
  <c r="AD70"/>
  <c r="X70"/>
  <c r="R70"/>
  <c r="AO69"/>
  <c r="AN69"/>
  <c r="AM69"/>
  <c r="AL69"/>
  <c r="AK69"/>
  <c r="AJ69"/>
  <c r="AD69"/>
  <c r="AT69" s="1"/>
  <c r="AT70" s="1"/>
  <c r="X69"/>
  <c r="R69"/>
  <c r="AO68"/>
  <c r="AO77"/>
  <c r="AN68"/>
  <c r="AN77" s="1"/>
  <c r="AN87" s="1"/>
  <c r="AN64"/>
  <c r="AM68"/>
  <c r="AL68"/>
  <c r="AL77" s="1"/>
  <c r="AL87" s="1"/>
  <c r="AK68"/>
  <c r="AJ68"/>
  <c r="AU69" s="1"/>
  <c r="AU70" s="1"/>
  <c r="AD68"/>
  <c r="X68"/>
  <c r="R68"/>
  <c r="AR69"/>
  <c r="AR70" s="1"/>
  <c r="AV61"/>
  <c r="AV64"/>
  <c r="AT64"/>
  <c r="AO64"/>
  <c r="AM64"/>
  <c r="AL64"/>
  <c r="AK64"/>
  <c r="AP64" s="1"/>
  <c r="AI64"/>
  <c r="AG64"/>
  <c r="AF64"/>
  <c r="AC64"/>
  <c r="AC87" s="1"/>
  <c r="AA64"/>
  <c r="Z64"/>
  <c r="Z87" s="1"/>
  <c r="W64"/>
  <c r="U64"/>
  <c r="T64"/>
  <c r="Q64"/>
  <c r="O64"/>
  <c r="O87" s="1"/>
  <c r="N64"/>
  <c r="N87" s="1"/>
  <c r="AI40"/>
  <c r="AH40"/>
  <c r="AG40"/>
  <c r="AF40"/>
  <c r="AC40"/>
  <c r="AB40"/>
  <c r="AA40"/>
  <c r="Z40"/>
  <c r="W40"/>
  <c r="V40"/>
  <c r="U40"/>
  <c r="T40"/>
  <c r="Q40"/>
  <c r="P40"/>
  <c r="O40"/>
  <c r="N40"/>
  <c r="AO39"/>
  <c r="AN39"/>
  <c r="AM39"/>
  <c r="AL39"/>
  <c r="AK39"/>
  <c r="AJ39"/>
  <c r="AD39"/>
  <c r="X39"/>
  <c r="R39"/>
  <c r="AO38"/>
  <c r="AN38"/>
  <c r="AM38"/>
  <c r="AL38"/>
  <c r="AE38"/>
  <c r="AJ38" s="1"/>
  <c r="Y38"/>
  <c r="AD38"/>
  <c r="S38"/>
  <c r="X38" s="1"/>
  <c r="R38"/>
  <c r="AO37"/>
  <c r="AN37"/>
  <c r="AM37"/>
  <c r="AL37"/>
  <c r="AK37"/>
  <c r="AP37" s="1"/>
  <c r="AJ37"/>
  <c r="AD37"/>
  <c r="X37"/>
  <c r="R37"/>
  <c r="AO36"/>
  <c r="AN36"/>
  <c r="AM36"/>
  <c r="AL36"/>
  <c r="AE36"/>
  <c r="AJ36" s="1"/>
  <c r="AD36"/>
  <c r="S36"/>
  <c r="R36"/>
  <c r="AO35"/>
  <c r="AN35"/>
  <c r="AP35" s="1"/>
  <c r="AM35"/>
  <c r="AL35"/>
  <c r="AK35"/>
  <c r="AJ35"/>
  <c r="AD35"/>
  <c r="X35"/>
  <c r="R35"/>
  <c r="AO34"/>
  <c r="AN34"/>
  <c r="AM34"/>
  <c r="AL34"/>
  <c r="AK34"/>
  <c r="AP34" s="1"/>
  <c r="D14" i="21" s="1"/>
  <c r="AJ34" i="16"/>
  <c r="AD34"/>
  <c r="X34"/>
  <c r="R34"/>
  <c r="AO33"/>
  <c r="AN33"/>
  <c r="AM33"/>
  <c r="AL33"/>
  <c r="AK33"/>
  <c r="AJ33"/>
  <c r="AD33"/>
  <c r="X33"/>
  <c r="R33"/>
  <c r="AO32"/>
  <c r="AN32"/>
  <c r="AM32"/>
  <c r="AP32"/>
  <c r="D13" i="21" s="1"/>
  <c r="AL32" i="16"/>
  <c r="AK32"/>
  <c r="AJ32"/>
  <c r="AD32"/>
  <c r="X32"/>
  <c r="R32"/>
  <c r="AO31"/>
  <c r="AN31"/>
  <c r="AM31"/>
  <c r="AL31"/>
  <c r="AK31"/>
  <c r="AP31" s="1"/>
  <c r="AJ31"/>
  <c r="AD31"/>
  <c r="X31"/>
  <c r="R31"/>
  <c r="AO30"/>
  <c r="AN30"/>
  <c r="AM30"/>
  <c r="AL30"/>
  <c r="AE30"/>
  <c r="AJ30" s="1"/>
  <c r="Y30"/>
  <c r="AD30" s="1"/>
  <c r="S30"/>
  <c r="X30" s="1"/>
  <c r="R30"/>
  <c r="AO29"/>
  <c r="AN29"/>
  <c r="AM29"/>
  <c r="AL29"/>
  <c r="AK29"/>
  <c r="AP29"/>
  <c r="AJ29"/>
  <c r="AD29"/>
  <c r="X29"/>
  <c r="R29"/>
  <c r="AO28"/>
  <c r="AN28"/>
  <c r="AM28"/>
  <c r="AL28"/>
  <c r="AE28"/>
  <c r="AJ28" s="1"/>
  <c r="Y28"/>
  <c r="AD28"/>
  <c r="S28"/>
  <c r="X28" s="1"/>
  <c r="M28"/>
  <c r="AK28"/>
  <c r="AO27"/>
  <c r="AN27"/>
  <c r="AM27"/>
  <c r="AL27"/>
  <c r="AK27"/>
  <c r="AJ27"/>
  <c r="AD27"/>
  <c r="X27"/>
  <c r="R27"/>
  <c r="AO26"/>
  <c r="AN26"/>
  <c r="AM26"/>
  <c r="AL26"/>
  <c r="AJ26"/>
  <c r="Y26"/>
  <c r="AD26" s="1"/>
  <c r="S26"/>
  <c r="R26"/>
  <c r="AO25"/>
  <c r="AN25"/>
  <c r="AM25"/>
  <c r="AL25"/>
  <c r="AK25"/>
  <c r="AP25" s="1"/>
  <c r="AJ25"/>
  <c r="AD25"/>
  <c r="X25"/>
  <c r="R25"/>
  <c r="AO24"/>
  <c r="AO40" s="1"/>
  <c r="AN24"/>
  <c r="AM24"/>
  <c r="AL24"/>
  <c r="AK24"/>
  <c r="AJ24"/>
  <c r="AD24"/>
  <c r="X24"/>
  <c r="R24"/>
  <c r="AO23"/>
  <c r="AN23"/>
  <c r="AM23"/>
  <c r="AL23"/>
  <c r="AP23" s="1"/>
  <c r="AK23"/>
  <c r="AJ23"/>
  <c r="AD23"/>
  <c r="X23"/>
  <c r="R23"/>
  <c r="AK22"/>
  <c r="AP22" s="1"/>
  <c r="D15" i="21"/>
  <c r="G22" s="1"/>
  <c r="AJ22" i="16"/>
  <c r="AD22"/>
  <c r="X22"/>
  <c r="R22"/>
  <c r="AK21"/>
  <c r="AP21" s="1"/>
  <c r="AJ21"/>
  <c r="AD21"/>
  <c r="X21"/>
  <c r="R21"/>
  <c r="AO20"/>
  <c r="AN20"/>
  <c r="AM20"/>
  <c r="AL20"/>
  <c r="AE20"/>
  <c r="Y20"/>
  <c r="S20"/>
  <c r="R20"/>
  <c r="AO19"/>
  <c r="AN19"/>
  <c r="AM19"/>
  <c r="AL19"/>
  <c r="AK19"/>
  <c r="AJ19"/>
  <c r="AD19"/>
  <c r="X19"/>
  <c r="R19"/>
  <c r="AO18"/>
  <c r="AN18"/>
  <c r="AM18"/>
  <c r="AL18"/>
  <c r="AE18"/>
  <c r="AJ18"/>
  <c r="Y18"/>
  <c r="S18"/>
  <c r="M18"/>
  <c r="R18"/>
  <c r="AO17"/>
  <c r="AN17"/>
  <c r="AM17"/>
  <c r="AP17"/>
  <c r="AL17"/>
  <c r="AJ17"/>
  <c r="AD17"/>
  <c r="X17"/>
  <c r="R17"/>
  <c r="AO16"/>
  <c r="AN16"/>
  <c r="AM16"/>
  <c r="AP16" s="1"/>
  <c r="AL16"/>
  <c r="AK16"/>
  <c r="AJ16"/>
  <c r="AD16"/>
  <c r="X16"/>
  <c r="R16"/>
  <c r="AO15"/>
  <c r="AN15"/>
  <c r="AM15"/>
  <c r="AL15"/>
  <c r="AK15"/>
  <c r="AP15" s="1"/>
  <c r="AJ15"/>
  <c r="AD15"/>
  <c r="X15"/>
  <c r="R15"/>
  <c r="AO14"/>
  <c r="AN14"/>
  <c r="AM14"/>
  <c r="AL14"/>
  <c r="AK14"/>
  <c r="AP14" s="1"/>
  <c r="AJ14"/>
  <c r="AD14"/>
  <c r="X14"/>
  <c r="R14"/>
  <c r="AO13"/>
  <c r="AN13"/>
  <c r="AM13"/>
  <c r="AL13"/>
  <c r="AK13"/>
  <c r="AJ13"/>
  <c r="AD13"/>
  <c r="X13"/>
  <c r="R13"/>
  <c r="AO12"/>
  <c r="AN12"/>
  <c r="AM12"/>
  <c r="AL12"/>
  <c r="AK12"/>
  <c r="AJ12"/>
  <c r="AD12"/>
  <c r="X12"/>
  <c r="R12"/>
  <c r="AO11"/>
  <c r="AN11"/>
  <c r="AM11"/>
  <c r="AL11"/>
  <c r="AP11" s="1"/>
  <c r="AK11"/>
  <c r="AJ11"/>
  <c r="AD11"/>
  <c r="X11"/>
  <c r="R11"/>
  <c r="AO10"/>
  <c r="AN10"/>
  <c r="AM10"/>
  <c r="AP10" s="1"/>
  <c r="AL10"/>
  <c r="AK10"/>
  <c r="AJ10"/>
  <c r="AD10"/>
  <c r="X10"/>
  <c r="R10"/>
  <c r="AO9"/>
  <c r="AN9"/>
  <c r="AM9"/>
  <c r="AL9"/>
  <c r="AK9"/>
  <c r="AJ9"/>
  <c r="AD9"/>
  <c r="X9"/>
  <c r="R9"/>
  <c r="AO8"/>
  <c r="AN8"/>
  <c r="AM8"/>
  <c r="AL8"/>
  <c r="AK8"/>
  <c r="AJ8"/>
  <c r="AD8"/>
  <c r="X8"/>
  <c r="R8"/>
  <c r="AG21" i="23"/>
  <c r="AA21"/>
  <c r="O21"/>
  <c r="AS18"/>
  <c r="AS22" s="1"/>
  <c r="AE8"/>
  <c r="AE22" s="1"/>
  <c r="AA11"/>
  <c r="U11"/>
  <c r="O11"/>
  <c r="AA10"/>
  <c r="U10"/>
  <c r="Y8"/>
  <c r="AA8" s="1"/>
  <c r="S8"/>
  <c r="M8"/>
  <c r="AI133" i="15"/>
  <c r="AH133"/>
  <c r="AG133"/>
  <c r="AF133"/>
  <c r="AE133"/>
  <c r="AJ133" s="1"/>
  <c r="AC133"/>
  <c r="AB133"/>
  <c r="AA133"/>
  <c r="AD133" s="1"/>
  <c r="Z133"/>
  <c r="Y133"/>
  <c r="W133"/>
  <c r="V133"/>
  <c r="U133"/>
  <c r="T133"/>
  <c r="S133"/>
  <c r="X133" s="1"/>
  <c r="Q133"/>
  <c r="P133"/>
  <c r="O133"/>
  <c r="R133" s="1"/>
  <c r="N133"/>
  <c r="M133"/>
  <c r="AO132"/>
  <c r="AN132"/>
  <c r="AM132"/>
  <c r="AL132"/>
  <c r="AK132"/>
  <c r="AJ132"/>
  <c r="AD132"/>
  <c r="X132"/>
  <c r="R132"/>
  <c r="AO131"/>
  <c r="AN131"/>
  <c r="AM131"/>
  <c r="AL131"/>
  <c r="AK131"/>
  <c r="AP131" s="1"/>
  <c r="AJ131"/>
  <c r="AD131"/>
  <c r="X131"/>
  <c r="R131"/>
  <c r="AO130"/>
  <c r="AN130"/>
  <c r="AM130"/>
  <c r="AL130"/>
  <c r="AK130"/>
  <c r="AJ130"/>
  <c r="AD130"/>
  <c r="X130"/>
  <c r="R130"/>
  <c r="AO129"/>
  <c r="AN129"/>
  <c r="AM129"/>
  <c r="AL129"/>
  <c r="AK129"/>
  <c r="AJ129"/>
  <c r="AD129"/>
  <c r="X129"/>
  <c r="R129"/>
  <c r="AO126"/>
  <c r="AN126"/>
  <c r="AM126"/>
  <c r="AL126"/>
  <c r="AK126"/>
  <c r="AP126" s="1"/>
  <c r="AJ126"/>
  <c r="AD126"/>
  <c r="X126"/>
  <c r="R126"/>
  <c r="AO125"/>
  <c r="AN125"/>
  <c r="AM125"/>
  <c r="AL125"/>
  <c r="AK125"/>
  <c r="AJ125"/>
  <c r="X125"/>
  <c r="R125"/>
  <c r="AO124"/>
  <c r="AN124"/>
  <c r="AP124" s="1"/>
  <c r="AM124"/>
  <c r="AL124"/>
  <c r="AK124"/>
  <c r="AJ124"/>
  <c r="AD124"/>
  <c r="X124"/>
  <c r="R124"/>
  <c r="AO123"/>
  <c r="AN123"/>
  <c r="AM123"/>
  <c r="AL123"/>
  <c r="AP123" s="1"/>
  <c r="AK123"/>
  <c r="AJ123"/>
  <c r="AD123"/>
  <c r="X123"/>
  <c r="R123"/>
  <c r="AO122"/>
  <c r="AN122"/>
  <c r="AM122"/>
  <c r="AM133" s="1"/>
  <c r="AL122"/>
  <c r="AK122"/>
  <c r="AJ122"/>
  <c r="AD122"/>
  <c r="X122"/>
  <c r="R122"/>
  <c r="AO121"/>
  <c r="AN121"/>
  <c r="AM121"/>
  <c r="AL121"/>
  <c r="AK121"/>
  <c r="AP121" s="1"/>
  <c r="AJ121"/>
  <c r="AD121"/>
  <c r="X121"/>
  <c r="R121"/>
  <c r="AO120"/>
  <c r="AN120"/>
  <c r="AM120"/>
  <c r="AL120"/>
  <c r="AL133" s="1"/>
  <c r="AK120"/>
  <c r="AP119"/>
  <c r="AO118"/>
  <c r="AN118"/>
  <c r="AM118"/>
  <c r="AM114"/>
  <c r="AM115"/>
  <c r="AM116"/>
  <c r="AP116" s="1"/>
  <c r="AM117"/>
  <c r="AL118"/>
  <c r="AK118"/>
  <c r="AO117"/>
  <c r="AN117"/>
  <c r="AL117"/>
  <c r="AK117"/>
  <c r="AJ117"/>
  <c r="AD117"/>
  <c r="X117"/>
  <c r="AO116"/>
  <c r="AN116"/>
  <c r="AL116"/>
  <c r="AK116"/>
  <c r="AJ116"/>
  <c r="AD116"/>
  <c r="X116"/>
  <c r="R116"/>
  <c r="AO115"/>
  <c r="AN115"/>
  <c r="AL115"/>
  <c r="AK115"/>
  <c r="AP115" s="1"/>
  <c r="AO114"/>
  <c r="AN114"/>
  <c r="AL114"/>
  <c r="AK114"/>
  <c r="AJ114"/>
  <c r="AD114"/>
  <c r="X114"/>
  <c r="R114"/>
  <c r="AO111"/>
  <c r="AN111"/>
  <c r="AM111"/>
  <c r="AL111"/>
  <c r="AI111"/>
  <c r="AH111"/>
  <c r="AG111"/>
  <c r="AJ111"/>
  <c r="AF111"/>
  <c r="AE111"/>
  <c r="AC111"/>
  <c r="AB111"/>
  <c r="AA111"/>
  <c r="Z111"/>
  <c r="Y111"/>
  <c r="AD111"/>
  <c r="S111"/>
  <c r="T111"/>
  <c r="U111"/>
  <c r="V111"/>
  <c r="W111"/>
  <c r="R111"/>
  <c r="Q111"/>
  <c r="P111"/>
  <c r="O111"/>
  <c r="N111"/>
  <c r="M111"/>
  <c r="AP110"/>
  <c r="AJ110"/>
  <c r="AD110"/>
  <c r="X110"/>
  <c r="AP109"/>
  <c r="AJ109"/>
  <c r="AD109"/>
  <c r="X109"/>
  <c r="AP108"/>
  <c r="AJ108"/>
  <c r="AD108"/>
  <c r="X108"/>
  <c r="AP107"/>
  <c r="AJ107"/>
  <c r="AD107"/>
  <c r="X107"/>
  <c r="AP106"/>
  <c r="AJ106"/>
  <c r="AD106"/>
  <c r="X106"/>
  <c r="AK105"/>
  <c r="AP105" s="1"/>
  <c r="AJ105"/>
  <c r="AD105"/>
  <c r="X105"/>
  <c r="AK104"/>
  <c r="AJ104"/>
  <c r="AD104"/>
  <c r="X104"/>
  <c r="AO99"/>
  <c r="AN99"/>
  <c r="AM99"/>
  <c r="AL99"/>
  <c r="AK99"/>
  <c r="AP99"/>
  <c r="AP98"/>
  <c r="AP97"/>
  <c r="AV72"/>
  <c r="AV73"/>
  <c r="AU76"/>
  <c r="AU77"/>
  <c r="AT76"/>
  <c r="AS76"/>
  <c r="AS77" s="1"/>
  <c r="AR76"/>
  <c r="AR77" s="1"/>
  <c r="AQ76"/>
  <c r="AQ77" s="1"/>
  <c r="AN74"/>
  <c r="AN76" s="1"/>
  <c r="AM74"/>
  <c r="AM76"/>
  <c r="AM77" s="1"/>
  <c r="AJ74"/>
  <c r="AJ76" s="1"/>
  <c r="AJ77" s="1"/>
  <c r="AI76"/>
  <c r="AH76"/>
  <c r="AH77" s="1"/>
  <c r="AH101"/>
  <c r="AG76"/>
  <c r="AF76"/>
  <c r="AE76"/>
  <c r="AE101" s="1"/>
  <c r="AC76"/>
  <c r="AC101" s="1"/>
  <c r="AB76"/>
  <c r="AA76"/>
  <c r="AA77"/>
  <c r="Z76"/>
  <c r="Z101" s="1"/>
  <c r="Y76"/>
  <c r="Y77" s="1"/>
  <c r="W76"/>
  <c r="V76"/>
  <c r="U76"/>
  <c r="T76"/>
  <c r="S76"/>
  <c r="Q76"/>
  <c r="P76"/>
  <c r="O76"/>
  <c r="O77" s="1"/>
  <c r="N76"/>
  <c r="M101"/>
  <c r="AO74"/>
  <c r="AO76" s="1"/>
  <c r="AL74"/>
  <c r="AL76" s="1"/>
  <c r="AK74"/>
  <c r="AK76" s="1"/>
  <c r="AK101" s="1"/>
  <c r="AD74"/>
  <c r="AD76" s="1"/>
  <c r="X74"/>
  <c r="X76" s="1"/>
  <c r="R74"/>
  <c r="R76" s="1"/>
  <c r="R101" s="1"/>
  <c r="AI46"/>
  <c r="AH39"/>
  <c r="AG46"/>
  <c r="AF46"/>
  <c r="AC46"/>
  <c r="AA46"/>
  <c r="Z46"/>
  <c r="W46"/>
  <c r="V39"/>
  <c r="U46"/>
  <c r="T46"/>
  <c r="Q46"/>
  <c r="O46"/>
  <c r="N46"/>
  <c r="AO45"/>
  <c r="AN45"/>
  <c r="AM45"/>
  <c r="AL45"/>
  <c r="AP45"/>
  <c r="AK45"/>
  <c r="AJ45"/>
  <c r="R45"/>
  <c r="I45"/>
  <c r="H45"/>
  <c r="AL43"/>
  <c r="AK43"/>
  <c r="AP43"/>
  <c r="AD43"/>
  <c r="X43"/>
  <c r="R43"/>
  <c r="H43"/>
  <c r="AK41"/>
  <c r="AP41" s="1"/>
  <c r="AL41"/>
  <c r="AD41"/>
  <c r="X41"/>
  <c r="R41"/>
  <c r="AO39"/>
  <c r="AM39"/>
  <c r="AL39"/>
  <c r="AK39"/>
  <c r="AB39"/>
  <c r="AB46" s="1"/>
  <c r="P39"/>
  <c r="AO38"/>
  <c r="AN38"/>
  <c r="AM38"/>
  <c r="AL38"/>
  <c r="AK38"/>
  <c r="AP38" s="1"/>
  <c r="AJ38"/>
  <c r="AD38"/>
  <c r="X38"/>
  <c r="R38"/>
  <c r="AO37"/>
  <c r="AN37"/>
  <c r="AM37"/>
  <c r="AL37"/>
  <c r="AP37" s="1"/>
  <c r="AK37"/>
  <c r="AJ37"/>
  <c r="AD37"/>
  <c r="X37"/>
  <c r="R37"/>
  <c r="AO36"/>
  <c r="AN36"/>
  <c r="AM36"/>
  <c r="AL36"/>
  <c r="AK36"/>
  <c r="AP36" s="1"/>
  <c r="AJ36"/>
  <c r="AD36"/>
  <c r="X36"/>
  <c r="R36"/>
  <c r="AO35"/>
  <c r="AN35"/>
  <c r="AM35"/>
  <c r="AL35"/>
  <c r="AK35"/>
  <c r="AJ35"/>
  <c r="AD35"/>
  <c r="X35"/>
  <c r="R35"/>
  <c r="AO34"/>
  <c r="AN34"/>
  <c r="AM34"/>
  <c r="AL34"/>
  <c r="AK34"/>
  <c r="AP34" s="1"/>
  <c r="AJ34"/>
  <c r="AD34"/>
  <c r="X34"/>
  <c r="R34"/>
  <c r="AO33"/>
  <c r="AN33"/>
  <c r="AM33"/>
  <c r="AL33"/>
  <c r="AK33"/>
  <c r="AJ33"/>
  <c r="AD33"/>
  <c r="X33"/>
  <c r="R33"/>
  <c r="AO32"/>
  <c r="AN32"/>
  <c r="AM32"/>
  <c r="AL32"/>
  <c r="AK32"/>
  <c r="AJ32"/>
  <c r="AD32"/>
  <c r="X32"/>
  <c r="R32"/>
  <c r="AO31"/>
  <c r="AN31"/>
  <c r="AM31"/>
  <c r="AL31"/>
  <c r="AK31"/>
  <c r="AP31" s="1"/>
  <c r="AJ31"/>
  <c r="AD31"/>
  <c r="X31"/>
  <c r="R31"/>
  <c r="AO30"/>
  <c r="AN30"/>
  <c r="AM30"/>
  <c r="AL30"/>
  <c r="AP30" s="1"/>
  <c r="AK30"/>
  <c r="AJ30"/>
  <c r="AD30"/>
  <c r="X30"/>
  <c r="R30"/>
  <c r="AO29"/>
  <c r="AN29"/>
  <c r="AM29"/>
  <c r="AL29"/>
  <c r="AK29"/>
  <c r="AJ29"/>
  <c r="AD29"/>
  <c r="X29"/>
  <c r="R29"/>
  <c r="AO28"/>
  <c r="AN28"/>
  <c r="AM28"/>
  <c r="AL28"/>
  <c r="AK28"/>
  <c r="AP28" s="1"/>
  <c r="AJ28"/>
  <c r="AD28"/>
  <c r="X28"/>
  <c r="R28"/>
  <c r="AO27"/>
  <c r="AN27"/>
  <c r="AM27"/>
  <c r="AL27"/>
  <c r="AE27"/>
  <c r="AJ27" s="1"/>
  <c r="Y27"/>
  <c r="Y19"/>
  <c r="S27"/>
  <c r="S46" s="1"/>
  <c r="M27"/>
  <c r="M46" s="1"/>
  <c r="AO26"/>
  <c r="AN26"/>
  <c r="AM26"/>
  <c r="AL26"/>
  <c r="AK26"/>
  <c r="AP26"/>
  <c r="AJ26"/>
  <c r="AD26"/>
  <c r="X26"/>
  <c r="R26"/>
  <c r="AO25"/>
  <c r="AN25"/>
  <c r="AM25"/>
  <c r="AL25"/>
  <c r="AK25"/>
  <c r="AJ25"/>
  <c r="AD25"/>
  <c r="X25"/>
  <c r="R25"/>
  <c r="AO24"/>
  <c r="AN24"/>
  <c r="AM24"/>
  <c r="AL24"/>
  <c r="AK24"/>
  <c r="AJ24"/>
  <c r="AD24"/>
  <c r="X24"/>
  <c r="R24"/>
  <c r="AO23"/>
  <c r="AN23"/>
  <c r="AM23"/>
  <c r="AL23"/>
  <c r="AK23"/>
  <c r="AJ23"/>
  <c r="AD23"/>
  <c r="X23"/>
  <c r="R23"/>
  <c r="AO22"/>
  <c r="AN22"/>
  <c r="AM22"/>
  <c r="AL22"/>
  <c r="AP22"/>
  <c r="AK22"/>
  <c r="AJ22"/>
  <c r="AD22"/>
  <c r="X22"/>
  <c r="R22"/>
  <c r="AO21"/>
  <c r="AN21"/>
  <c r="AM21"/>
  <c r="AL21"/>
  <c r="AK21"/>
  <c r="AJ21"/>
  <c r="AD21"/>
  <c r="X21"/>
  <c r="R21"/>
  <c r="AO20"/>
  <c r="AN20"/>
  <c r="AM20"/>
  <c r="AL20"/>
  <c r="AK20"/>
  <c r="AJ20"/>
  <c r="AD20"/>
  <c r="X20"/>
  <c r="R20"/>
  <c r="AO19"/>
  <c r="AN19"/>
  <c r="AM19"/>
  <c r="AL19"/>
  <c r="AE19"/>
  <c r="AE46"/>
  <c r="X19"/>
  <c r="R19"/>
  <c r="AO18"/>
  <c r="AN18"/>
  <c r="AM18"/>
  <c r="AP18" s="1"/>
  <c r="AL18"/>
  <c r="AK18"/>
  <c r="AJ18"/>
  <c r="AD18"/>
  <c r="X18"/>
  <c r="R18"/>
  <c r="AO17"/>
  <c r="AN17"/>
  <c r="AM17"/>
  <c r="AL17"/>
  <c r="AP17" s="1"/>
  <c r="AK17"/>
  <c r="AJ17"/>
  <c r="AD17"/>
  <c r="X17"/>
  <c r="R17"/>
  <c r="AO16"/>
  <c r="AN16"/>
  <c r="AM16"/>
  <c r="AM46" s="1"/>
  <c r="AK16"/>
  <c r="AL16"/>
  <c r="AJ16"/>
  <c r="AD16"/>
  <c r="X16"/>
  <c r="R16"/>
  <c r="AO15"/>
  <c r="AN15"/>
  <c r="AM15"/>
  <c r="AL15"/>
  <c r="AK15"/>
  <c r="AJ15"/>
  <c r="AD15"/>
  <c r="X15"/>
  <c r="R15"/>
  <c r="AO14"/>
  <c r="AN14"/>
  <c r="AM14"/>
  <c r="AL14"/>
  <c r="AL46" s="1"/>
  <c r="AK14"/>
  <c r="AJ14"/>
  <c r="AD14"/>
  <c r="X14"/>
  <c r="R14"/>
  <c r="AO13"/>
  <c r="AN13"/>
  <c r="AM13"/>
  <c r="AL13"/>
  <c r="AP13"/>
  <c r="AK13"/>
  <c r="AJ13"/>
  <c r="AD13"/>
  <c r="X13"/>
  <c r="R13"/>
  <c r="AO12"/>
  <c r="AN12"/>
  <c r="AM12"/>
  <c r="AP12" s="1"/>
  <c r="AL12"/>
  <c r="AK12"/>
  <c r="AJ12"/>
  <c r="AD12"/>
  <c r="X12"/>
  <c r="R12"/>
  <c r="AO11"/>
  <c r="AN11"/>
  <c r="AM11"/>
  <c r="AL11"/>
  <c r="AK11"/>
  <c r="AJ11"/>
  <c r="AD11"/>
  <c r="X11"/>
  <c r="R11"/>
  <c r="AO10"/>
  <c r="AP10" s="1"/>
  <c r="AN10"/>
  <c r="AM10"/>
  <c r="AL10"/>
  <c r="AK10"/>
  <c r="AJ10"/>
  <c r="AD10"/>
  <c r="X10"/>
  <c r="R10"/>
  <c r="AO9"/>
  <c r="AO46" s="1"/>
  <c r="AO8"/>
  <c r="AN9"/>
  <c r="AM9"/>
  <c r="AL9"/>
  <c r="AK9"/>
  <c r="AP9"/>
  <c r="AJ9"/>
  <c r="AD9"/>
  <c r="X9"/>
  <c r="R9"/>
  <c r="AN8"/>
  <c r="AM8"/>
  <c r="AL8"/>
  <c r="AP8"/>
  <c r="AK8"/>
  <c r="AJ8"/>
  <c r="AD8"/>
  <c r="X8"/>
  <c r="R8"/>
  <c r="W87" i="16"/>
  <c r="AA87"/>
  <c r="AR82"/>
  <c r="AR86" s="1"/>
  <c r="AI87"/>
  <c r="AJ19" i="15"/>
  <c r="X97" i="16"/>
  <c r="AK38"/>
  <c r="AP38" s="1"/>
  <c r="D19" i="21" s="1"/>
  <c r="V87" i="16"/>
  <c r="AP108"/>
  <c r="AS69"/>
  <c r="AS70" s="1"/>
  <c r="AS75"/>
  <c r="AS77" s="1"/>
  <c r="AV77" s="1"/>
  <c r="S87"/>
  <c r="AP9"/>
  <c r="AK97"/>
  <c r="AD39" i="15"/>
  <c r="X20" i="16"/>
  <c r="AP125" i="15"/>
  <c r="AM21" i="23"/>
  <c r="AM11"/>
  <c r="S24"/>
  <c r="C5" i="34"/>
  <c r="G5" s="1"/>
  <c r="I5" s="1"/>
  <c r="I8" s="1"/>
  <c r="E5"/>
  <c r="E8" s="1"/>
  <c r="U24" i="23"/>
  <c r="D5" i="34"/>
  <c r="D8" s="1"/>
  <c r="F5"/>
  <c r="F8" s="1"/>
  <c r="N101" i="15"/>
  <c r="N77"/>
  <c r="W77"/>
  <c r="W101"/>
  <c r="AB77"/>
  <c r="AG77"/>
  <c r="AG101"/>
  <c r="D44" i="29"/>
  <c r="F28" s="1"/>
  <c r="R77" i="15"/>
  <c r="AA101"/>
  <c r="P77"/>
  <c r="P101"/>
  <c r="U77"/>
  <c r="Z77"/>
  <c r="AE77"/>
  <c r="AI77"/>
  <c r="AI101"/>
  <c r="S123" i="16"/>
  <c r="AP117" i="15"/>
  <c r="AP39" i="16"/>
  <c r="T87"/>
  <c r="Y101" i="15"/>
  <c r="AC77"/>
  <c r="S22" i="23"/>
  <c r="U8"/>
  <c r="AG8"/>
  <c r="X18" i="16"/>
  <c r="X26"/>
  <c r="R90" i="15"/>
  <c r="AM10" i="23"/>
  <c r="AY21"/>
  <c r="AW18"/>
  <c r="AY18" s="1"/>
  <c r="Y40" i="16"/>
  <c r="AD40" s="1"/>
  <c r="F44" i="29"/>
  <c r="F41" i="22"/>
  <c r="F27"/>
  <c r="AO91" i="15"/>
  <c r="AK19"/>
  <c r="AP19" s="1"/>
  <c r="AP12" i="16"/>
  <c r="D6" i="21"/>
  <c r="AR75" i="16"/>
  <c r="AR77"/>
  <c r="R77"/>
  <c r="F36" i="29"/>
  <c r="F43"/>
  <c r="R27" i="15"/>
  <c r="AK18" i="16"/>
  <c r="AP18"/>
  <c r="D18" i="21" s="1"/>
  <c r="E17" s="1"/>
  <c r="AD18" i="16"/>
  <c r="M87"/>
  <c r="AH46" i="15"/>
  <c r="AJ39"/>
  <c r="AP132"/>
  <c r="AD19"/>
  <c r="Q77"/>
  <c r="Q101"/>
  <c r="AF101"/>
  <c r="AF77"/>
  <c r="AP114"/>
  <c r="M40" i="16"/>
  <c r="R40"/>
  <c r="R28"/>
  <c r="X36"/>
  <c r="AK36"/>
  <c r="AP36"/>
  <c r="D16" i="21"/>
  <c r="AF87" i="16"/>
  <c r="AP68"/>
  <c r="AM117"/>
  <c r="X27" i="15"/>
  <c r="AP11"/>
  <c r="AP106" i="16"/>
  <c r="X117"/>
  <c r="AV86"/>
  <c r="AP15" i="15"/>
  <c r="AP24"/>
  <c r="X111"/>
  <c r="AM40" i="16"/>
  <c r="AD20"/>
  <c r="AK20"/>
  <c r="AP20" s="1"/>
  <c r="D8" i="21"/>
  <c r="AP24" i="16"/>
  <c r="D9" i="21" s="1"/>
  <c r="AM77" i="16"/>
  <c r="AM87"/>
  <c r="AP73"/>
  <c r="AB87"/>
  <c r="AT75"/>
  <c r="AT77"/>
  <c r="AP100"/>
  <c r="AK117"/>
  <c r="AP102"/>
  <c r="AP110"/>
  <c r="AN133" i="15"/>
  <c r="AP69" i="16"/>
  <c r="AP116"/>
  <c r="F22" i="25"/>
  <c r="F11"/>
  <c r="AJ90" i="15"/>
  <c r="AJ91" s="1"/>
  <c r="E5" i="21"/>
  <c r="AK8" i="23" l="1"/>
  <c r="AY10"/>
  <c r="AT22"/>
  <c r="O8"/>
  <c r="U22"/>
  <c r="AG22"/>
  <c r="C8" i="34"/>
  <c r="G8" s="1"/>
  <c r="Y22" i="23"/>
  <c r="M22"/>
  <c r="AO101" i="15"/>
  <c r="AO77"/>
  <c r="AN77"/>
  <c r="AN101"/>
  <c r="AK46"/>
  <c r="AP46" s="1"/>
  <c r="X77"/>
  <c r="AD118" i="16"/>
  <c r="AP87"/>
  <c r="AD77" i="15"/>
  <c r="AD101"/>
  <c r="V46"/>
  <c r="X46" s="1"/>
  <c r="X39"/>
  <c r="S101"/>
  <c r="S77"/>
  <c r="R39"/>
  <c r="AN39"/>
  <c r="AN46" s="1"/>
  <c r="P46"/>
  <c r="R46" s="1"/>
  <c r="AL101"/>
  <c r="AL77"/>
  <c r="V77"/>
  <c r="V101"/>
  <c r="AK111"/>
  <c r="AP111" s="1"/>
  <c r="AP104"/>
  <c r="AG87" i="16"/>
  <c r="AJ64"/>
  <c r="AJ87" s="1"/>
  <c r="AP20" i="15"/>
  <c r="AK77"/>
  <c r="AP100"/>
  <c r="AP14"/>
  <c r="AP32"/>
  <c r="O101"/>
  <c r="AK133"/>
  <c r="AP133" s="1"/>
  <c r="AP74"/>
  <c r="AP76" s="1"/>
  <c r="AM101"/>
  <c r="AV76"/>
  <c r="AV77" s="1"/>
  <c r="AP120"/>
  <c r="AP16"/>
  <c r="AJ46"/>
  <c r="AP21"/>
  <c r="AP23"/>
  <c r="Y46"/>
  <c r="AD46" s="1"/>
  <c r="AP35"/>
  <c r="AO133"/>
  <c r="AP118"/>
  <c r="AP122"/>
  <c r="AP129"/>
  <c r="AN40" i="16"/>
  <c r="AL40"/>
  <c r="AP13"/>
  <c r="AP27"/>
  <c r="AP33"/>
  <c r="AP76"/>
  <c r="AL117"/>
  <c r="AP117" s="1"/>
  <c r="K22" i="25"/>
  <c r="K24" s="1"/>
  <c r="F33" i="22"/>
  <c r="F40"/>
  <c r="U101" i="15"/>
  <c r="U91"/>
  <c r="AP90"/>
  <c r="AP91" s="1"/>
  <c r="T77"/>
  <c r="T101"/>
  <c r="X64" i="16"/>
  <c r="U87"/>
  <c r="Y87"/>
  <c r="AD64"/>
  <c r="AD87" s="1"/>
  <c r="R91" i="15"/>
  <c r="AD27"/>
  <c r="AK27"/>
  <c r="AP27" s="1"/>
  <c r="AP8" i="16"/>
  <c r="AE40"/>
  <c r="AJ40" s="1"/>
  <c r="AJ20"/>
  <c r="S40"/>
  <c r="X40" s="1"/>
  <c r="AK26"/>
  <c r="AP26" s="1"/>
  <c r="D10" i="21" s="1"/>
  <c r="AD91" i="15"/>
  <c r="X90"/>
  <c r="AB101"/>
  <c r="AB91"/>
  <c r="AH22" i="23"/>
  <c r="AM17"/>
  <c r="AJ101" i="15"/>
  <c r="AA22" i="23"/>
  <c r="F45" i="29"/>
  <c r="AT77" i="15"/>
  <c r="AK30" i="16"/>
  <c r="AP30" s="1"/>
  <c r="D12" i="21" s="1"/>
  <c r="R64" i="16"/>
  <c r="R87" s="1"/>
  <c r="R118" s="1"/>
  <c r="AP25" i="15"/>
  <c r="AP29"/>
  <c r="AP33"/>
  <c r="AP130"/>
  <c r="AP19" i="16"/>
  <c r="AP28"/>
  <c r="D11" i="21" s="1"/>
  <c r="AO87" i="16"/>
  <c r="AK77"/>
  <c r="AP77" s="1"/>
  <c r="AP74"/>
  <c r="X77"/>
  <c r="AJ117"/>
  <c r="AM90" i="15"/>
  <c r="AM91" s="1"/>
  <c r="D20" i="21"/>
  <c r="E20" s="1"/>
  <c r="E7" l="1"/>
  <c r="AM8" i="23"/>
  <c r="AM22" s="1"/>
  <c r="AW8"/>
  <c r="AK22"/>
  <c r="O22"/>
  <c r="AJ118" i="16"/>
  <c r="X91" i="15"/>
  <c r="AP39"/>
  <c r="F42" i="22"/>
  <c r="AK87" i="16"/>
  <c r="X101" i="15"/>
  <c r="X118" i="16"/>
  <c r="AP77" i="15"/>
  <c r="AP101"/>
  <c r="AK40" i="16"/>
  <c r="AP40" s="1"/>
  <c r="AP118" s="1"/>
  <c r="X87"/>
  <c r="AY8" i="23" l="1"/>
  <c r="AY22" s="1"/>
  <c r="AW22"/>
</calcChain>
</file>

<file path=xl/comments1.xml><?xml version="1.0" encoding="utf-8"?>
<comments xmlns="http://schemas.openxmlformats.org/spreadsheetml/2006/main">
  <authors>
    <author>Dune</author>
    <author>User</author>
    <author>twinks</author>
  </authors>
  <commentList>
    <comment ref="A45" authorId="0">
      <text>
        <r>
          <rPr>
            <b/>
            <sz val="9"/>
            <color indexed="81"/>
            <rFont val="Tahoma"/>
            <family val="2"/>
          </rPr>
          <t>Dune:</t>
        </r>
        <r>
          <rPr>
            <sz val="9"/>
            <color indexed="81"/>
            <rFont val="Tahoma"/>
            <family val="2"/>
          </rPr>
          <t xml:space="preserve">
reflected in Infra Chapter
</t>
        </r>
      </text>
    </comment>
    <comment ref="A114" authorId="1">
      <text>
        <r>
          <rPr>
            <b/>
            <sz val="9"/>
            <color indexed="81"/>
            <rFont val="Tahoma"/>
            <family val="2"/>
          </rPr>
          <t>User:</t>
        </r>
        <r>
          <rPr>
            <sz val="9"/>
            <color indexed="81"/>
            <rFont val="Tahoma"/>
            <family val="2"/>
          </rPr>
          <t xml:space="preserve">
Source NHTS PR NPMO or as revised by the NHTS PR</t>
        </r>
      </text>
    </comment>
    <comment ref="A116" authorId="1">
      <text>
        <r>
          <rPr>
            <b/>
            <sz val="9"/>
            <color indexed="81"/>
            <rFont val="Tahoma"/>
            <family val="2"/>
          </rPr>
          <t>User:</t>
        </r>
        <r>
          <rPr>
            <sz val="9"/>
            <color indexed="81"/>
            <rFont val="Tahoma"/>
            <family val="2"/>
          </rPr>
          <t xml:space="preserve">
Source 2010-2015 MTEP</t>
        </r>
      </text>
    </comment>
    <comment ref="A117" authorId="1">
      <text>
        <r>
          <rPr>
            <b/>
            <sz val="9"/>
            <color indexed="81"/>
            <rFont val="Tahoma"/>
            <family val="2"/>
          </rPr>
          <t>User:</t>
        </r>
        <r>
          <rPr>
            <sz val="9"/>
            <color indexed="81"/>
            <rFont val="Tahoma"/>
            <family val="2"/>
          </rPr>
          <t xml:space="preserve">
Source DSWD 2012 Budget
(GAA).</t>
        </r>
      </text>
    </comment>
    <comment ref="A121" authorId="1">
      <text>
        <r>
          <rPr>
            <b/>
            <sz val="9"/>
            <color indexed="81"/>
            <rFont val="Tahoma"/>
            <family val="2"/>
          </rPr>
          <t>User:</t>
        </r>
        <r>
          <rPr>
            <sz val="9"/>
            <color indexed="81"/>
            <rFont val="Tahoma"/>
            <family val="2"/>
          </rPr>
          <t xml:space="preserve">
Source 
MTEP 2010-2015</t>
        </r>
      </text>
    </comment>
    <comment ref="D122" authorId="2">
      <text>
        <r>
          <rPr>
            <b/>
            <sz val="9"/>
            <color indexed="81"/>
            <rFont val="Tahoma"/>
            <family val="2"/>
          </rPr>
          <t>User:</t>
        </r>
        <r>
          <rPr>
            <sz val="9"/>
            <color indexed="81"/>
            <rFont val="Tahoma"/>
            <family val="2"/>
          </rPr>
          <t xml:space="preserve">
Transitional NCDPP</t>
        </r>
      </text>
    </comment>
    <comment ref="A123" authorId="1">
      <text>
        <r>
          <rPr>
            <b/>
            <sz val="9"/>
            <color indexed="81"/>
            <rFont val="Tahoma"/>
            <family val="2"/>
          </rPr>
          <t>User:</t>
        </r>
        <r>
          <rPr>
            <sz val="9"/>
            <color indexed="81"/>
            <rFont val="Tahoma"/>
            <family val="2"/>
          </rPr>
          <t xml:space="preserve">
Source PMB and DSWD 2012 Budget</t>
        </r>
      </text>
    </comment>
    <comment ref="A124" authorId="1">
      <text>
        <r>
          <rPr>
            <b/>
            <sz val="9"/>
            <color indexed="81"/>
            <rFont val="Tahoma"/>
            <family val="2"/>
          </rPr>
          <t>User:</t>
        </r>
        <r>
          <rPr>
            <sz val="9"/>
            <color indexed="81"/>
            <rFont val="Tahoma"/>
            <family val="2"/>
          </rPr>
          <t xml:space="preserve">
Source
DSWD 2012 Budget
MTEP 2010-2015</t>
        </r>
      </text>
    </comment>
    <comment ref="A125" authorId="1">
      <text>
        <r>
          <rPr>
            <b/>
            <sz val="9"/>
            <color indexed="81"/>
            <rFont val="Tahoma"/>
            <family val="2"/>
          </rPr>
          <t>User:</t>
        </r>
        <r>
          <rPr>
            <sz val="9"/>
            <color indexed="81"/>
            <rFont val="Tahoma"/>
            <family val="2"/>
          </rPr>
          <t xml:space="preserve">
Source
MTEP 2010-2015</t>
        </r>
      </text>
    </comment>
  </commentList>
</comments>
</file>

<file path=xl/comments2.xml><?xml version="1.0" encoding="utf-8"?>
<comments xmlns="http://schemas.openxmlformats.org/spreadsheetml/2006/main">
  <authors>
    <author>lenovo</author>
  </authors>
  <commentList>
    <comment ref="A22" authorId="0">
      <text>
        <r>
          <rPr>
            <b/>
            <sz val="9"/>
            <color indexed="81"/>
            <rFont val="Tahoma"/>
            <family val="2"/>
          </rPr>
          <t>lenovo:</t>
        </r>
        <r>
          <rPr>
            <sz val="9"/>
            <color indexed="81"/>
            <rFont val="Tahoma"/>
            <family val="2"/>
          </rPr>
          <t xml:space="preserve">
Delete this row?</t>
        </r>
      </text>
    </comment>
  </commentList>
</comments>
</file>

<file path=xl/sharedStrings.xml><?xml version="1.0" encoding="utf-8"?>
<sst xmlns="http://schemas.openxmlformats.org/spreadsheetml/2006/main" count="1658" uniqueCount="636">
  <si>
    <t>Agency Name</t>
  </si>
  <si>
    <t xml:space="preserve">Spatial Coverage
</t>
  </si>
  <si>
    <t>Region</t>
  </si>
  <si>
    <t xml:space="preserve"> </t>
  </si>
  <si>
    <t>PDP Chapter</t>
  </si>
  <si>
    <t>Notes:</t>
  </si>
  <si>
    <t>(A)</t>
  </si>
  <si>
    <t>(B)</t>
  </si>
  <si>
    <t>(D)</t>
  </si>
  <si>
    <t>(E)</t>
  </si>
  <si>
    <t>(F)</t>
  </si>
  <si>
    <t>(G)</t>
  </si>
  <si>
    <t>(H)</t>
  </si>
  <si>
    <t>(I)</t>
  </si>
  <si>
    <t>(J)</t>
  </si>
  <si>
    <t>(C)</t>
  </si>
  <si>
    <t>DSWD</t>
  </si>
  <si>
    <t>Chapter 8: Social Development</t>
  </si>
  <si>
    <t>Nationwide</t>
  </si>
  <si>
    <t>All regions</t>
  </si>
  <si>
    <t>DSWD with DepEd, DOH, NEDA, NAPC, DILG, WB, AUSAID, UNFPA</t>
  </si>
  <si>
    <t>DSWD and statistical agencies</t>
  </si>
  <si>
    <t>Pantawid Pamilya, the Philippine version of conditional cash transfer (CCT) program, is an innovative social development approach and poverty reduction strategy that provides an immediate relief from daily financial difficulties of extremely poor households while aiming to break the inter-generational poverty cycle through investments in human capital</t>
  </si>
  <si>
    <t xml:space="preserve">A community-based program that provides entrepreneurial and employment opportunities for the poor </t>
  </si>
  <si>
    <t>DSWD with LGU, NEDA, DOF, WB, MCC</t>
  </si>
  <si>
    <t>Region Specific</t>
  </si>
  <si>
    <t>CAR, IV-A, IV-B, V, VI, VII, VIII, IX, X, XI, XII, CARAGA</t>
  </si>
  <si>
    <t>CAR, IV-A, IV-B, V, VI, VII, VIII, IX, X, XI, XII, CARAGA, I, II, III</t>
  </si>
  <si>
    <t>2013-2016</t>
  </si>
  <si>
    <t>DSWD and DILG</t>
  </si>
  <si>
    <t>DSWD with LGU, NFA, WFP</t>
  </si>
  <si>
    <t xml:space="preserve">DSWD with OPAPP </t>
  </si>
  <si>
    <t>Social Develeopment Chapter (8) and Peace and Security (9)</t>
  </si>
  <si>
    <t>A community demand-driven development project that aims to improve the quality of life of its beneficiaries through development of their capacity to design, implement and manage local development activities that reduce poverty and strengthen their participation in local governance.</t>
  </si>
  <si>
    <t>The Program is the mechanism that provides food, in addition to the regular meals, to children attending day care sessions and supervised neighbourhood play</t>
  </si>
  <si>
    <t>The program is a short-term intervention to provide temporary employment to distressed/displaced individuals and families by participating in or undertaking preparedness, mitigation, relief and rehabilitation or risk reduction projects and activities in their communities or in evacuation centers</t>
  </si>
  <si>
    <t>PAMANA is a multi-agency project. It  aims to reduce poverty and vulnerability   through community infrastructure, improve governance through partnerships with national and local institutions, and empower communities to address issues of vulnerability and peace through activities that promote social cohesion</t>
  </si>
  <si>
    <t xml:space="preserve">DSWD </t>
  </si>
  <si>
    <t>DOLE</t>
  </si>
  <si>
    <t>DOLE-OSEC (BWSC, ROs)</t>
  </si>
  <si>
    <t>Aims to assist poor but deserving students pursue their education by encouraging employment of those in the secondary, tertiary, technical or vocational education level</t>
  </si>
  <si>
    <t xml:space="preserve"> Nationwide</t>
  </si>
  <si>
    <t>Chapter 2: Macroeconomy, Chapter 8: Social Development</t>
  </si>
  <si>
    <t>DILP is the DOLE's contribution to the national agenda of reducing poverty through the promotion of livelihood and entrepreneurship development and transforming livelihood projects into community enteprises through convergence of services.</t>
  </si>
  <si>
    <t>(i)Special Program for Employment of Students (SPES)</t>
  </si>
  <si>
    <t>(ii) DOLE Integrated Livelihood Programs (DILP)</t>
  </si>
  <si>
    <t xml:space="preserve"> (i) PAP 1:  Scholarships</t>
  </si>
  <si>
    <t>nationwide</t>
  </si>
  <si>
    <t>Chapter 8 - Social Development Sector</t>
  </si>
  <si>
    <t>(ii) PAP 2: Development of world-class universities</t>
  </si>
  <si>
    <t>support to HEIs to be ranked among the world's top universities and provision of support to centers of excellence/development and R &amp; D centers</t>
  </si>
  <si>
    <t>4, 7, 10, NCR</t>
  </si>
  <si>
    <t>(a) Major Final Output*1: Plans/Policies/Standards/Programs for Higher Education</t>
  </si>
  <si>
    <t xml:space="preserve"> (iii) PAP 3:  Higher Education Research &amp; Development and Extension Program</t>
  </si>
  <si>
    <t>will generate 258 technologies/applied and transferred to the NAPC identified communities</t>
  </si>
  <si>
    <t>nationwide with special focus on Regions CAR, 2, 3,, 4-A, 5, 7, 8 &amp; 11</t>
  </si>
  <si>
    <t xml:space="preserve"> (iv) PAP 4:  Higher Education Reform Agenda (HERA)</t>
  </si>
  <si>
    <t>to develop a blue print for higher education system</t>
  </si>
  <si>
    <t xml:space="preserve">     Rationalization of higher education</t>
  </si>
  <si>
    <t>CHED Total Investment Targets</t>
  </si>
  <si>
    <t>CHED</t>
  </si>
  <si>
    <t>Organizational Outcome:  Develop Productive and Competitive Filipino Workers</t>
  </si>
  <si>
    <t>TESDA Development Fund</t>
  </si>
  <si>
    <t>Based on Sec. 31 of RA 7796, a funding window to be utilized in awarding of grants and providing assistance to industries, training institutions and local government units to participate in the user-led and demand-driven TESD.</t>
  </si>
  <si>
    <t>• Chapter 8: Social Development</t>
  </si>
  <si>
    <t>Major Final Output* 3-Support to TVET Provision</t>
  </si>
  <si>
    <t>The Training for Work Scholarship Program (TWSP) provides immediate intervention to meet the need for highly critical skills. It is directed towards priority sectors where jobs are available. The scholars of the Program receive free training and assessment.</t>
  </si>
  <si>
    <t>All</t>
  </si>
  <si>
    <t>Chapter 8-Social Development</t>
  </si>
  <si>
    <t>Assure the quality of skilled workers produced by Philippine TESD system.</t>
  </si>
  <si>
    <t>TESD Management Information System</t>
  </si>
  <si>
    <t>Real time monitoring of TESD reports from public and private TESD providers and tracking of TESD beneficiaries</t>
  </si>
  <si>
    <t>TESDA Total Investment Targets</t>
  </si>
  <si>
    <t>TESDA</t>
  </si>
  <si>
    <t>NCR</t>
  </si>
  <si>
    <t>(a) MFO 2: Basic Education Services</t>
  </si>
  <si>
    <t>(i) Creation of Teaching Positions</t>
  </si>
  <si>
    <t>(ii) Construction of Classrooms</t>
  </si>
  <si>
    <t>1. Basic Educational Facilities</t>
  </si>
  <si>
    <t>3. SPF- Regular Schoolbuilding Program (RSBP)</t>
  </si>
  <si>
    <t>4. Quick Response Program (QRF)</t>
  </si>
  <si>
    <t>5. School Building Program for Basic Education (SBP4BE)</t>
  </si>
  <si>
    <t>(iii) Procurement of Textbooks and Teachers' Manual</t>
  </si>
  <si>
    <t>(iv) Provision of Science Equipment and Math Tools</t>
  </si>
  <si>
    <t>(v) DepEd Computerization Program</t>
  </si>
  <si>
    <t>(vi) School-Based Feeding Program</t>
  </si>
  <si>
    <t>(vii) School Based Management</t>
  </si>
  <si>
    <t xml:space="preserve">(viii) Universalization of Kindergarten Education </t>
  </si>
  <si>
    <t>(ix) Strengthened IP/Basic Education Madrasah</t>
  </si>
  <si>
    <t>(x) Alternative Learning System (Accreditation &amp; Equivalency Program)</t>
  </si>
  <si>
    <t>(xi) Abot-Alam Program</t>
  </si>
  <si>
    <t>(xii) Strengthened Technical Vocational Education Program</t>
  </si>
  <si>
    <t>(xiii) Human Resource Training and Development Program</t>
  </si>
  <si>
    <t>(xiv) Basic Education Sector Transformation (BEST)</t>
  </si>
  <si>
    <t>(xv) Basic Education Assistance to Mindanao-ARMM (BEAM-ARMM)</t>
  </si>
  <si>
    <t>(b) MFO 3: Regulatory and Developmental Services for Private Schools</t>
  </si>
  <si>
    <t xml:space="preserve">(i) Govt. Assistance to Students and Teachers in Private Education (GASTPE) </t>
  </si>
  <si>
    <t>DepED</t>
  </si>
  <si>
    <t>DPWH</t>
  </si>
  <si>
    <t>The creation of new Teacher I items in DepEd annual budget aims to address the requirements of schools with critical teacher shortages.</t>
  </si>
  <si>
    <t>A program implemented to address the classroom, water and sanitation facilities and furniture requirements of the schools belonging to the “red and black” zones of Basic Education Information System (BEIS), as well as the repair and rehabilitation of classrooms and other heritage buildings.</t>
  </si>
  <si>
    <t>School Building Program implemented by Department of Public Works and Highways allocation of which is by legislative district in accordance with the allocation criteria mandated under RA 7880 or Roxas Law otherwise known as “Fair and Equitable Allocation of the DECS’ Budget for Capital Outlay”.</t>
  </si>
  <si>
    <t>Uses the standby fund included in the Department of Education (DepED) budget exclusively appropriated for the repair, rehabilitation, reconstruction, or replacement of school buildings and facilities affected by the calamities such as fire, typhoons or floods, earthquake or earthquake fires, and others to normalize the situation as quickly as possible.</t>
  </si>
  <si>
    <t>SBP4BE seeks to improve learning outcomes by providing a conducive learning environment through the provision of quality and resilient school buildings with the appropriate classroom package .</t>
  </si>
  <si>
    <t>To provide quality and reasonably priced instructional materials to the public school system</t>
  </si>
  <si>
    <t>Distribution of packages of science and math equipment including laboratory glassware and storage cabinets to improve the students’ learning and appreciation of science concepts and its applications.</t>
  </si>
  <si>
    <t>The program aims to provide public schools with appropriate technologies that would enhance the teaching-learning process. The program shall provide one computer laboratory and internet connectivity to all public schools.</t>
  </si>
  <si>
    <t xml:space="preserve">The SBFP was previously known as the Breakfast Feeding Program (BFP) which was initially conceptualized and launched in 1997 to address the “short-term-hunger syndrome” among public elementary school children. As the program progressed, it shifted from just addressing the short-term hunger to addressing a more serious problem of under-nutrition in schools. The program was renamed to SBFP so as not to limit the feeding to breakfast only. </t>
  </si>
  <si>
    <t>Empowers the schools and establishes linkages to community, internal and external stakeholders. SBM Grant is a pool of funds composed of  school grants and program support funds given to the schools in order to implement SBM. Specifically, the schools use the grants for school improvement planning and the implementation thereof with the ultimate goal of enhancing school learning outcomes.</t>
  </si>
  <si>
    <t>A support fund to implement Universalization of Kindergarten Education by hiring kindergarten volunteer teachers .</t>
  </si>
  <si>
    <t xml:space="preserve">This program is the DepEd response to the desire of IP communities for an education that is responsive to their context, respects their identities, and promotes the value of their traditional knowledge, skills, and other aspects of their cultural heritage. Specifically, it aims to improve the appropriateness and responsiveness of the IP curriculum, capacity building for teachers, managers, and personnel and development of culturally appropriate learning resources in public schools with IP enrollees as well as to address the learning needs of those IP learners who are outside the formal education system.
The program was created to provide quality education to Muslim learners in the public schools and private Madaris and to Muslim out of school youths and adults. This  is to ensure that all Muslim school children and OSYs have access to an Islamic-friendly educational curriculum and quality basic education.
</t>
  </si>
  <si>
    <t xml:space="preserve">A program aimed at providing an alternative pathway of learning for out-of-school youth and adults who are basically literate but have not completed the 10 years of basic education mandated by the Philippine Constitution.  Through this program, school dropouts are able to complete elementary and secondary education outside the formal system.
</t>
  </si>
  <si>
    <t>Abot-Alam is a national strategy to organize efforts in integrating programs for out-of-school youth (OSY), with the vision of providing them opportunity for education, career and employment. It is a two-phased program which includes a Barangay Targeting System for OSY and a Community Reintegration Program that will reintegrate the OSY to their communities through programs and services offered by DepEd, TESDA, and other partner agencies. The OSY Barangay Targeting System aims to come up with a comprehensive database of the OSY nationwide through a unified national targeting system.</t>
  </si>
  <si>
    <t xml:space="preserve">The STVEP is devised to provide high school graduates with opportunities to acquire certifiable vocational and technical skills that will allow broader options in pursuing their post secondary career, whether this is a college education, short term technical courses, entrepreneurship or apprenticeship leading to eventual formal employment. It also offers high school graduates employable and entrepreneurial skills that will enable them to support their post-secondary career and/or their family needs.
</t>
  </si>
  <si>
    <t xml:space="preserve">A pool of fund for human resource development and training programs. More specifically, it aims to make the Department responsive to the organizational needs and manpower requirements by developing appropriate skills and attitudes of personnel. </t>
  </si>
  <si>
    <t>Basic Education Sector Transformation (BEST) is designed for a twelve (12) year implementation divided into two phases aimed to contribute to improvement in the equitable access to quality basic education in the Philippines. The first phase of BEST (2013 – 2019) will have two main components;  Improving Teaching and Learning; and  Strengthening Systems.</t>
  </si>
  <si>
    <t xml:space="preserve">The overall goal of the program is to improve access to quality basic education in ARMM. This will be achieved in four major components, which are (a) Kinder and Basic Education; (b) School Health; (c) Tech-Voc for OSY and (d) Alternative Delivery Modes which will be the BRAC (Bangladesh Rural Advancement Committee) model. </t>
  </si>
  <si>
    <t>Aims to increase participation rate and to decongest public secondary schools through the extension of financial assistance to deserving elementary school graduates who wish to pursue their secondary education in private schools. The assistance is provided to private education through the Education Service Contracting (ESC) and the Education Voucher System (EVS).</t>
  </si>
  <si>
    <t>Chapter 8</t>
  </si>
  <si>
    <t>Inter-regional</t>
  </si>
  <si>
    <t xml:space="preserve">III and IV-A: Antipolo, Batangas, Laguna, Rizal, Quezon, Cavite, Bulacan, Nueva Ecija, 
Pampanga, Tarlac, Zambales
</t>
  </si>
  <si>
    <t>Region-specific</t>
  </si>
  <si>
    <t xml:space="preserve">ARMM: Basilan, Tawi-Tawi, Sulu, Maguindanao, Lanao del Sur
Lamitan &amp; Marawi City
</t>
  </si>
  <si>
    <t>NG</t>
  </si>
  <si>
    <t>EER Prioritization Rank**</t>
  </si>
  <si>
    <t>EER Prioritzation Score***</t>
  </si>
  <si>
    <t>16 Point Agenda Addressed</t>
  </si>
  <si>
    <t>Objectively Verifiable Indicators (OVIs)</t>
  </si>
  <si>
    <t>PDP Results Matrices (RM) Critical Indicators Addressed</t>
  </si>
  <si>
    <t>Investment Targets In Thousand Pesos (PhP '000)******</t>
  </si>
  <si>
    <t>2013</t>
  </si>
  <si>
    <t>2014</t>
  </si>
  <si>
    <t>2015</t>
  </si>
  <si>
    <t>2016</t>
  </si>
  <si>
    <t xml:space="preserve">Total </t>
  </si>
  <si>
    <t>GOCC/GFIs</t>
  </si>
  <si>
    <t>LGUs</t>
  </si>
  <si>
    <t>ODA Grant</t>
  </si>
  <si>
    <t>Private Sector</t>
  </si>
  <si>
    <t>Subtotal</t>
  </si>
  <si>
    <t>Total</t>
  </si>
  <si>
    <t>Interregional</t>
  </si>
  <si>
    <t>2, 3, 4, 5, 8, 13</t>
  </si>
  <si>
    <t>April 8, 2013 (tentative)</t>
  </si>
  <si>
    <t>1. Improved Access to Quality Basic Education</t>
  </si>
  <si>
    <r>
      <t xml:space="preserve">MFO 2: </t>
    </r>
    <r>
      <rPr>
        <sz val="10"/>
        <rFont val="Calibri"/>
        <family val="2"/>
      </rPr>
      <t>Employment Enhancement, Empowerment and Welfare Services</t>
    </r>
  </si>
  <si>
    <t>(i) Convergence Program to Address Child Labor (HELP ME)</t>
  </si>
  <si>
    <t xml:space="preserve">HELP ME is a convergence program of the National Government led by the DOLE which aims to contribute to the Millenium Development Goal of eradicating poverty by removing children from worst forms of child labor.                                                                  This Convergence program aims to provide focused, converged, and synchronized strategies to effectively address the problem of child labor in the country. </t>
  </si>
  <si>
    <t>All-Regions</t>
  </si>
  <si>
    <t>Chapter 2: Macroeconomy
Chapter 8: Social Development</t>
  </si>
  <si>
    <t>DOLE-OSEC            
(BWSC, ROs)</t>
  </si>
  <si>
    <t>d. KALAHI CIDSS - 2 with Pilot National Community Driven Development Program (NCDDP)    *pilot program continuing the CDD strategy</t>
  </si>
  <si>
    <t>-</t>
  </si>
  <si>
    <t>not applicable</t>
  </si>
  <si>
    <t>NHA</t>
  </si>
  <si>
    <t xml:space="preserve">Taguig City Government </t>
  </si>
  <si>
    <t>(a) MFO: Provision of Shelter Security Services</t>
  </si>
  <si>
    <t xml:space="preserve">(i) Alternative Housing Program for ISFs in Danger Areas in Metro Manila </t>
  </si>
  <si>
    <t>The program involves the resettlement (in-city, off-city) and  land acquisition for 104,000 informal settler families (ISFs) living in danger areas (rivers, esteros, creeks) in Metro Manila. Undertaken through in-city low-rise housing development using government owned land.</t>
  </si>
  <si>
    <t xml:space="preserve">Resettlement (in-city) for 1,800 ISFs in danger areas in Taguig City and capacity builiding for disaster risk reduction management and climate change adaptation for Taguig City communities. </t>
  </si>
  <si>
    <t xml:space="preserve">To be presented to NEDA Board </t>
  </si>
  <si>
    <t>1. Organizational Outcome : Access to Social Health Insurance Assured</t>
  </si>
  <si>
    <t>(a) Major Final Output : Leveraging services for priority health programs</t>
  </si>
  <si>
    <t>(i) National Health Insurance Program</t>
  </si>
  <si>
    <t>DOH</t>
  </si>
  <si>
    <t>8: Social Development</t>
  </si>
  <si>
    <t>2. Organizational Outcome : Access to Quality and Affordable Health Services Assured</t>
  </si>
  <si>
    <t>(a) Major Final Output : Tertiary and other Specialized Health Care</t>
  </si>
  <si>
    <t>(i) Subsidies for Hospital Care</t>
  </si>
  <si>
    <t>Provide subsidy to 82 DOH-retained hospitals</t>
  </si>
  <si>
    <t>(b) Major Final Output : Leveraging services for priority health programs</t>
  </si>
  <si>
    <t>(i) Health Facilities Enhancement Program</t>
  </si>
  <si>
    <t>Upgrade BHS, RHUs, LGU hospitals, DOH hospitals</t>
  </si>
  <si>
    <t>(ii) Expanded Program on Immunization</t>
  </si>
  <si>
    <t>Fully immunize 95% of eligible population</t>
  </si>
  <si>
    <t>Reduce local variation in TB Control program performance, scale up and sustain coverage of DOTS implementation, ensure provision of quality TB services, and reduce out-of-pocket expenses related to TB care financing</t>
  </si>
  <si>
    <t>Prevent the further spread of HIV infection and reduce the impact of the disease on individuals, families, communities, and various sectors</t>
  </si>
  <si>
    <t xml:space="preserve">Improve the health and welfare of mothers, children and other members of the family;
Provide information and services for the couples of reproductive age to plan their family  </t>
  </si>
  <si>
    <t>Training and deployment of CHTs to areas of need</t>
  </si>
  <si>
    <t>Deployment of doctors, nurses and midwives to areas of need</t>
  </si>
  <si>
    <t>Provision of free medicines for poor families under NHTS through the RHUs</t>
  </si>
  <si>
    <t>Support to policy and systems development as well as capability building activities at the national, regional, and LGU level on FP/RH, TB, MNCHN/CHT.</t>
  </si>
  <si>
    <t>Agenda 4</t>
  </si>
  <si>
    <r>
      <t xml:space="preserve">Organizational Outcome : </t>
    </r>
    <r>
      <rPr>
        <sz val="10"/>
        <rFont val="Calibri"/>
        <family val="2"/>
      </rPr>
      <t>Human Resources Competitiveness, Enterprise Productivity,  Social Protection and Industrial Peace through Social Partnership</t>
    </r>
  </si>
  <si>
    <r>
      <rPr>
        <b/>
        <sz val="10"/>
        <rFont val="Calibri"/>
        <family val="2"/>
      </rPr>
      <t>MFO 1</t>
    </r>
    <r>
      <rPr>
        <sz val="10"/>
        <rFont val="Calibri"/>
        <family val="2"/>
      </rPr>
      <t xml:space="preserve"> : Employment Facilitation and Manpower Development Services</t>
    </r>
  </si>
  <si>
    <r>
      <t xml:space="preserve">Organizational Outcome: </t>
    </r>
    <r>
      <rPr>
        <sz val="10"/>
        <rFont val="Calibri"/>
        <family val="2"/>
      </rPr>
      <t>Improved Access to Quality Basic Education</t>
    </r>
  </si>
  <si>
    <t>A. Subsector Outcome: Health and nutrition services improved</t>
  </si>
  <si>
    <t>A. Subsector/Intermediate Outcome : Education, training, and culture services improved</t>
  </si>
  <si>
    <t>Education and Skills Development</t>
  </si>
  <si>
    <t>Housing</t>
  </si>
  <si>
    <t>Social Protection</t>
  </si>
  <si>
    <t>DepED Total Investment Targets</t>
  </si>
  <si>
    <t>Housing Total Investment Targets</t>
  </si>
  <si>
    <t>Social Protection Total Investment Targets</t>
  </si>
  <si>
    <t>Education and Skills Development Total Investment Targets</t>
  </si>
  <si>
    <t xml:space="preserve">Health, Nutrition and Population </t>
  </si>
  <si>
    <t>Health, Nutrition and Population Total Investment Targets</t>
  </si>
  <si>
    <t xml:space="preserve">Education and Skills Development </t>
  </si>
  <si>
    <t>Program/Project Description****</t>
  </si>
  <si>
    <t>16-Point Agenda Addressed</t>
  </si>
  <si>
    <t>Expected  Date of Presentation to the ICC</t>
  </si>
  <si>
    <t>Nationwide/ Interregional/ Region-Specific*****</t>
  </si>
  <si>
    <t>2013
(GAA)</t>
  </si>
  <si>
    <t>2014
(DOH Proposal)</t>
  </si>
  <si>
    <t>GOCC/ GFIs</t>
  </si>
  <si>
    <t xml:space="preserve">LGUs******* </t>
  </si>
  <si>
    <t>LGUs*******</t>
  </si>
  <si>
    <t>(D )</t>
  </si>
  <si>
    <t>(K)</t>
  </si>
  <si>
    <t>(L)</t>
  </si>
  <si>
    <t>(M)</t>
  </si>
  <si>
    <t>(N)</t>
  </si>
  <si>
    <t>(O)</t>
  </si>
  <si>
    <t>(P)</t>
  </si>
  <si>
    <t>(Q)</t>
  </si>
  <si>
    <t>( R )</t>
  </si>
  <si>
    <t>(S)</t>
  </si>
  <si>
    <t>(T)</t>
  </si>
  <si>
    <t>(U)</t>
  </si>
  <si>
    <t>(V)</t>
  </si>
  <si>
    <t>(W)</t>
  </si>
  <si>
    <t>(X)</t>
  </si>
  <si>
    <t>(Y)</t>
  </si>
  <si>
    <t>(Z)</t>
  </si>
  <si>
    <t>(AA)</t>
  </si>
  <si>
    <t>(AB)</t>
  </si>
  <si>
    <t>(AC)</t>
  </si>
  <si>
    <t>(AD)</t>
  </si>
  <si>
    <t>(AE)</t>
  </si>
  <si>
    <t>(AF)</t>
  </si>
  <si>
    <t>(AG)</t>
  </si>
  <si>
    <t>(AH)</t>
  </si>
  <si>
    <t>(AI)</t>
  </si>
  <si>
    <t>(AJ)</t>
  </si>
  <si>
    <t>(AK)</t>
  </si>
  <si>
    <t>(AL)</t>
  </si>
  <si>
    <t>(AM)</t>
  </si>
  <si>
    <t>(AN)</t>
  </si>
  <si>
    <t>Societal Goal: Inclusive Growth and Poverty Reduction</t>
  </si>
  <si>
    <t xml:space="preserve">  I. Sector Outcome: Improved human development status</t>
  </si>
  <si>
    <t>Enroll 10.8 million NHTS-PR households in PhilHealth</t>
  </si>
  <si>
    <t>(iv) Other Infectious Disease control  incl HIV prevention</t>
  </si>
  <si>
    <t xml:space="preserve">Strategies and interventions are focused on malaria control and elimination, and also on sustaining the malaria-free status of areas which have not reported a local case in the past years. </t>
  </si>
  <si>
    <t>(vi) Family Health and Responsible Parenting</t>
  </si>
  <si>
    <t>(vii) Community Health Teams</t>
  </si>
  <si>
    <t>(viii) Rural Health Practice Program (Doctors to the Barrios, RN-HEALS, Midwives)</t>
  </si>
  <si>
    <t>(ix) Medicine Access Program (Complete Treatment Packs)</t>
  </si>
  <si>
    <t>(x) Health Information Systems</t>
  </si>
  <si>
    <t>Development/upgrading of ICT infrastructure of DOH, CHDs, and hospitals</t>
  </si>
  <si>
    <t>*MFOs-refer to major final outputs. An MFO is a public good or service that a department/agency or corporation is mandated to deliver to external clients through the implementation of the programs and projects. The entries for 'Major Final Output' and 'Organizational Outcome' should be consistent with the Organizational Performance Indicators Framework (OPIF).</t>
  </si>
  <si>
    <t>** For Column 'EER Prioritization Rank', the ranking (with rank 1 as highest priority)  should be undertaken in all the identified strategic core programs and projects reflected in this document.  Higher EER prioritization score means higher priority accorded to the project.</t>
  </si>
  <si>
    <t>*** For EER  Prioritization score, please attach the accomplished Annex C( EER Criteria for Screening and Prioritizing CIPs) for each of the program/projects.</t>
  </si>
  <si>
    <t>**** For the Program/Project Description, please provide ONE to TWO LINER containing the program/project's objective/target output, e.g. will build 100km of roads.</t>
  </si>
  <si>
    <t>*****For interregional and region-specific projects, please identify the regions covered by the project in Column F 'Region' . If available, mention also the specific LGUs to be covered by the program or project.</t>
  </si>
  <si>
    <t>****** The investment targets refer to cost estimates of the counterpart contribution of the NG, LGUs, ODA partner, private sector and LGU in NG-implemented programs and projects.</t>
  </si>
  <si>
    <t>******* For Columns ' LGU', investment targets should refer to LGU share in NG-implemented programs and projects</t>
  </si>
  <si>
    <t>Number  of items created</t>
  </si>
  <si>
    <t>Number  of classrooms constructed</t>
  </si>
  <si>
    <t>NDCC</t>
  </si>
  <si>
    <t>Number  of textbooks delivered and procured</t>
  </si>
  <si>
    <t>Number  of schools recipient</t>
  </si>
  <si>
    <t>Number  of learners and volunteer teachers</t>
  </si>
  <si>
    <t>Number  of learners benefitted</t>
  </si>
  <si>
    <t>Number  of learners</t>
  </si>
  <si>
    <t>Number  of schools given financial support</t>
  </si>
  <si>
    <t>Number  of teaching, teaching related and non-teaching trained</t>
  </si>
  <si>
    <t>Number  of students benefited</t>
  </si>
  <si>
    <t>Agenda 3 - From relegating education to just one of many concerns to making education the central strategy for investing in our people, reducing poverty and building national competitiveness</t>
  </si>
  <si>
    <t>Beneficiaries of TWSP  in TVET increased (number)</t>
  </si>
  <si>
    <t>1.Organizational Outcome 1 : Improved quality of higher education</t>
  </si>
  <si>
    <t>(a) Major Final Output*2 : Quality Assurance Services</t>
  </si>
  <si>
    <t>to provide access to quality higher education among poor but deserving students</t>
  </si>
  <si>
    <t>Agenda 2, 3</t>
  </si>
  <si>
    <t>2. Organizational Outcome2:  Improved relevance of higher education and research</t>
  </si>
  <si>
    <t>CAR, 2, 3,, 4-A, 5, 7, 8 &amp; 11</t>
  </si>
  <si>
    <t>Agenda 2, 3, 4, 7 13, 14, 16</t>
  </si>
  <si>
    <t>3. Organizational Outcome 3:  Effective and efficient management of higher education system</t>
  </si>
  <si>
    <t>Agenda 3</t>
  </si>
  <si>
    <t>Items # 2, 3, 8, 9, 13</t>
  </si>
  <si>
    <t xml:space="preserve">• Labor market programs providing employment opportunities and protection of the rights and welfare of workers enhanced                     • No. of TVET enrollees increased                         • No. of TVET graduates increased      </t>
  </si>
  <si>
    <t xml:space="preserve">• Labor market programs providing employment opportunities and protection of the rights and welfare of workers enhanced                               • Improved access to quality education, training and culture         • No. of workers assessed increased         • No. of workers certified increased                                • Certification rate in TVET increased          </t>
  </si>
  <si>
    <t xml:space="preserve">• Chapter 2: Macroeconomy          • Chapter 3: Competitive Industry and Services Sector
• Chapter 8: Social Development
</t>
  </si>
  <si>
    <t>Items # 1, 2, 3, 8, 9, 13</t>
  </si>
  <si>
    <t>Training for Work Scholarship Program</t>
  </si>
  <si>
    <t>Certification</t>
  </si>
  <si>
    <t>a. National Household Targeting System for Poverty Reduction (NHTS-PR)</t>
  </si>
  <si>
    <t xml:space="preserve">It is an information management system that identifies who and where the poor are. </t>
  </si>
  <si>
    <t>All Regions</t>
  </si>
  <si>
    <t>-do-</t>
  </si>
  <si>
    <t>b. Sustainable Livelihood Program</t>
  </si>
  <si>
    <t>DSWD with DENR,DA,DPWH</t>
  </si>
  <si>
    <t>c.  Kapit-Bisig Laban sa Kahirapan KALAHI CIDSS: KKB</t>
  </si>
  <si>
    <t>e.  Social Pension for Indigent Senior Filipino Citizens</t>
  </si>
  <si>
    <t>Provides monthly stipedn amounting to Php 500.00 to augment the daily subsistence and other medical needs of indigent Senior Citizens ages 77 years old and above.</t>
  </si>
  <si>
    <t>f. Supplementary Feeding Program</t>
  </si>
  <si>
    <t>g. Food for Work Program for Internally Displaced Persons (IDP)</t>
  </si>
  <si>
    <t>X, XII, ARMM
NCR, CAR, I, II, III, IV-A, V</t>
  </si>
  <si>
    <t>h. Payapa at Masaganang Pamayanan (PAMANA)     *until 2012 only</t>
  </si>
  <si>
    <t xml:space="preserve"> ARMM</t>
  </si>
  <si>
    <t>*Peace and Order
Agenda 14</t>
  </si>
  <si>
    <t xml:space="preserve">(A) No. of HHs provided with Micro-Enterprise Development activities </t>
  </si>
  <si>
    <t>thru provision of Capital Seed Fund by DSWD or MFIs/other financial instiutions</t>
  </si>
  <si>
    <t>thru provision of skills training or livelihood facilities</t>
  </si>
  <si>
    <t>(B) No. of HHs facilitated for employment</t>
  </si>
  <si>
    <t>(a) No. of Day Care Children provided with supplemental feeding</t>
  </si>
  <si>
    <t>USD 3 Million  granted by Japan Social Development Fund through World Bank</t>
  </si>
  <si>
    <t>Employment Facilitation and Manpower Development Services</t>
  </si>
  <si>
    <t>MFO 1: Social Protection Policy/Plans Services</t>
  </si>
  <si>
    <t>MFO 2: Social Protection Services</t>
  </si>
  <si>
    <t>(v) Elimination of public health diseases (Malaria, Rabies, filariasis, schistosomiasis)</t>
  </si>
  <si>
    <t>SHFC</t>
  </si>
  <si>
    <t xml:space="preserve">Nationwide </t>
  </si>
  <si>
    <t>a. Pantawid Pamilya Program</t>
  </si>
  <si>
    <t>for implementation in 2013</t>
  </si>
  <si>
    <r>
      <rPr>
        <i/>
        <sz val="10"/>
        <rFont val="Calibri"/>
        <family val="2"/>
      </rPr>
      <t>(a)</t>
    </r>
    <r>
      <rPr>
        <sz val="10"/>
        <rFont val="Calibri"/>
        <family val="2"/>
      </rPr>
      <t xml:space="preserve"> Targeting system for SWD programs and projects installed and maintained
</t>
    </r>
    <r>
      <rPr>
        <i/>
        <sz val="10"/>
        <rFont val="Calibri"/>
        <family val="2"/>
      </rPr>
      <t>(b)</t>
    </r>
    <r>
      <rPr>
        <sz val="10"/>
        <rFont val="Calibri"/>
        <family val="2"/>
      </rPr>
      <t xml:space="preserve"> No. of household assessed and included in the database
</t>
    </r>
    <r>
      <rPr>
        <i/>
        <sz val="10"/>
        <rFont val="Calibri"/>
        <family val="2"/>
      </rPr>
      <t>(c)</t>
    </r>
    <r>
      <rPr>
        <sz val="10"/>
        <rFont val="Calibri"/>
        <family val="2"/>
      </rPr>
      <t xml:space="preserve"> No. of households identified as poor through the Proxy Means test</t>
    </r>
  </si>
  <si>
    <r>
      <rPr>
        <i/>
        <sz val="10"/>
        <rFont val="Calibri"/>
        <family val="2"/>
      </rPr>
      <t xml:space="preserve">(a) </t>
    </r>
    <r>
      <rPr>
        <sz val="10"/>
        <rFont val="Calibri"/>
        <family val="2"/>
      </rPr>
      <t xml:space="preserve">No. of household beneficiaries
</t>
    </r>
    <r>
      <rPr>
        <i/>
        <sz val="10"/>
        <rFont val="Calibri"/>
        <family val="2"/>
      </rPr>
      <t>(b)</t>
    </r>
    <r>
      <rPr>
        <sz val="10"/>
        <rFont val="Calibri"/>
        <family val="2"/>
      </rPr>
      <t xml:space="preserve"> No. of targeted regions, provinces, cities/municipalities</t>
    </r>
  </si>
  <si>
    <r>
      <t xml:space="preserve">Note: Breakdown for 2011 targets: </t>
    </r>
    <r>
      <rPr>
        <i/>
        <sz val="10"/>
        <rFont val="Calibri"/>
        <family val="2"/>
      </rPr>
      <t>Level 1 (</t>
    </r>
    <r>
      <rPr>
        <sz val="10"/>
        <rFont val="Calibri"/>
        <family val="2"/>
      </rPr>
      <t xml:space="preserve">9,694,000.00) </t>
    </r>
    <r>
      <rPr>
        <i/>
        <sz val="10"/>
        <rFont val="Calibri"/>
        <family val="2"/>
      </rPr>
      <t xml:space="preserve">4Ps </t>
    </r>
    <r>
      <rPr>
        <sz val="10"/>
        <rFont val="Calibri"/>
        <family val="2"/>
      </rPr>
      <t xml:space="preserve">(20,815,000.00) </t>
    </r>
    <r>
      <rPr>
        <i/>
        <sz val="10"/>
        <rFont val="Calibri"/>
        <family val="2"/>
      </rPr>
      <t>Level 2 (</t>
    </r>
    <r>
      <rPr>
        <sz val="10"/>
        <rFont val="Calibri"/>
        <family val="2"/>
      </rPr>
      <t>21,115,000.00)</t>
    </r>
  </si>
  <si>
    <r>
      <rPr>
        <i/>
        <sz val="10"/>
        <rFont val="Calibri"/>
        <family val="2"/>
      </rPr>
      <t>(a)</t>
    </r>
    <r>
      <rPr>
        <sz val="10"/>
        <rFont val="Calibri"/>
        <family val="2"/>
      </rPr>
      <t xml:space="preserve"> No. of Areas covered by KALAHI-CIDSS (regions, provinces, municipalities, barangays)12 regions/49 provinces/364 municipalities/8,435 barangays</t>
    </r>
  </si>
  <si>
    <r>
      <rPr>
        <i/>
        <sz val="10"/>
        <rFont val="Calibri"/>
        <family val="2"/>
      </rPr>
      <t>(a)</t>
    </r>
    <r>
      <rPr>
        <sz val="10"/>
        <rFont val="Calibri"/>
        <family val="2"/>
      </rPr>
      <t xml:space="preserve"> No. of Areas covered by KALAHI-CIDSS (regions, provinces, municipalities, barangays)15 regions/63 provinces/900 municipalities/20,691 barangays</t>
    </r>
  </si>
  <si>
    <r>
      <rPr>
        <i/>
        <sz val="10"/>
        <rFont val="Calibri"/>
        <family val="2"/>
      </rPr>
      <t>(a)</t>
    </r>
    <r>
      <rPr>
        <sz val="10"/>
        <rFont val="Calibri"/>
        <family val="2"/>
      </rPr>
      <t xml:space="preserve"> Social Pension for Indigent Senior Citizens
77 yrs old and above for CY 2011
60 yrs old and above for CY 2012</t>
    </r>
  </si>
  <si>
    <r>
      <rPr>
        <i/>
        <sz val="10"/>
        <rFont val="Calibri"/>
        <family val="2"/>
      </rPr>
      <t>(a)</t>
    </r>
    <r>
      <rPr>
        <sz val="10"/>
        <rFont val="Calibri"/>
        <family val="2"/>
      </rPr>
      <t xml:space="preserve"> No. of internally displaced families due to conflict in Mindanao to be provided assistance through cash/food for training/work
</t>
    </r>
    <r>
      <rPr>
        <i/>
        <sz val="10"/>
        <rFont val="Calibri"/>
        <family val="2"/>
      </rPr>
      <t>(b)</t>
    </r>
    <r>
      <rPr>
        <sz val="10"/>
        <rFont val="Calibri"/>
        <family val="2"/>
      </rPr>
      <t xml:space="preserve"> No. of displaced families due to typhoon Ondoy, Peping and Santi with totally damaged shelter units to be provided assistance through cash/food for training/work (C/FT/W)</t>
    </r>
  </si>
  <si>
    <r>
      <rPr>
        <i/>
        <sz val="10"/>
        <rFont val="Calibri"/>
        <family val="2"/>
      </rPr>
      <t xml:space="preserve">(a) </t>
    </r>
    <r>
      <rPr>
        <sz val="10"/>
        <rFont val="Calibri"/>
        <family val="2"/>
      </rPr>
      <t xml:space="preserve">No. of conflict affected barangays provided with 
- Livelihood Activities
- Core Shelter (new indicator)
</t>
    </r>
    <r>
      <rPr>
        <i/>
        <sz val="10"/>
        <rFont val="Calibri"/>
        <family val="2"/>
      </rPr>
      <t>(b)</t>
    </r>
    <r>
      <rPr>
        <sz val="10"/>
        <rFont val="Calibri"/>
        <family val="2"/>
      </rPr>
      <t xml:space="preserve"> No. of core shelter unit to be constructed</t>
    </r>
  </si>
  <si>
    <r>
      <t xml:space="preserve">(ii) Building Resilience and Awareness of Metro Manila Communities to Natural Disasters and Climate Change (BRACE)
</t>
    </r>
    <r>
      <rPr>
        <i/>
        <sz val="10"/>
        <color indexed="10"/>
        <rFont val="Calibri"/>
        <family val="2"/>
      </rPr>
      <t>(no annual breakdown)</t>
    </r>
  </si>
  <si>
    <r>
      <t xml:space="preserve">Resettlement
</t>
    </r>
    <r>
      <rPr>
        <i/>
        <sz val="10"/>
        <color indexed="10"/>
        <rFont val="Calibri"/>
        <family val="2"/>
      </rPr>
      <t>(no annual breakdown)</t>
    </r>
  </si>
  <si>
    <r>
      <t xml:space="preserve">Emergency Housing Assistance
</t>
    </r>
    <r>
      <rPr>
        <i/>
        <sz val="10"/>
        <color indexed="10"/>
        <rFont val="Calibri"/>
        <family val="2"/>
      </rPr>
      <t>(no annual breakdown)</t>
    </r>
  </si>
  <si>
    <r>
      <t xml:space="preserve">Settlements Upgrading
</t>
    </r>
    <r>
      <rPr>
        <i/>
        <sz val="10"/>
        <color indexed="10"/>
        <rFont val="Calibri"/>
        <family val="2"/>
      </rPr>
      <t>(no annual breakdown)</t>
    </r>
  </si>
  <si>
    <r>
      <t xml:space="preserve">AFP/PNP Housing
</t>
    </r>
    <r>
      <rPr>
        <i/>
        <sz val="10"/>
        <color indexed="10"/>
        <rFont val="Calibri"/>
        <family val="2"/>
      </rPr>
      <t>(no annual breakdown)</t>
    </r>
  </si>
  <si>
    <r>
      <t xml:space="preserve">Community Mortgage Program
</t>
    </r>
    <r>
      <rPr>
        <i/>
        <sz val="10"/>
        <color indexed="10"/>
        <rFont val="Calibri"/>
        <family val="2"/>
      </rPr>
      <t>(no annual breakdown)</t>
    </r>
  </si>
  <si>
    <r>
      <t>DSWD with HDPRCC</t>
    </r>
    <r>
      <rPr>
        <vertAlign val="superscript"/>
        <sz val="10"/>
        <rFont val="Calibri"/>
        <family val="2"/>
      </rPr>
      <t>1</t>
    </r>
    <r>
      <rPr>
        <sz val="10"/>
        <rFont val="Calibri"/>
        <family val="2"/>
      </rPr>
      <t xml:space="preserve">
LGU</t>
    </r>
  </si>
  <si>
    <t>Expected Output</t>
  </si>
  <si>
    <t>Spatial Coverage</t>
  </si>
  <si>
    <t>3,600,000 OSY</t>
  </si>
  <si>
    <t>KALAHI CIDSS - 2 with Pilot National Community Driven Development Program (NCDDP)    *pilot program continuing the CDD strategy</t>
  </si>
  <si>
    <t xml:space="preserve">Agency/Department </t>
  </si>
  <si>
    <t>No. of CIPs</t>
  </si>
  <si>
    <t>Investment Targets in PhP million</t>
  </si>
  <si>
    <t>Modernization of trauma center; with 700 bed capacity</t>
  </si>
  <si>
    <t>Modernization of Philippine Orthopedic Center (PPP) (P5.6 bil)</t>
  </si>
  <si>
    <t>DOH*</t>
  </si>
  <si>
    <t>1. National Health Insurance Program</t>
  </si>
  <si>
    <t>3. Expanded Program on Immunization</t>
  </si>
  <si>
    <t>4. National TB Control Program</t>
  </si>
  <si>
    <t>7. Family health &amp; responsible parenting</t>
  </si>
  <si>
    <t>8. Community health teams</t>
  </si>
  <si>
    <t>9. Rural health practice program</t>
  </si>
  <si>
    <t>10. Medicine access programs</t>
  </si>
  <si>
    <t>Outputs</t>
  </si>
  <si>
    <t>Subsector outcome: health and nutrition services improved</t>
  </si>
  <si>
    <t>Spatial coverage</t>
  </si>
  <si>
    <t>Total investment targets for 2013-2016 (in Php millions)</t>
  </si>
  <si>
    <t>Note: The Modernization of Philippine Orthopedic Center is reflected in Infrastructure chapter</t>
  </si>
  <si>
    <t>Major programs and projects</t>
  </si>
  <si>
    <t>DOH-USAID Family Health Program (Oct 2012 - Sept 2017) (Php 6.7 B)</t>
  </si>
  <si>
    <t> Social Development Sector</t>
  </si>
  <si>
    <t>Total Investment Targets for 2013-2016  (in PhP Million)</t>
  </si>
  <si>
    <t>Total Investment Targets for 2017 and beyond  (in PhP Million)</t>
  </si>
  <si>
    <t>Sub-sector Outcome: Education, training and culture services improved</t>
  </si>
  <si>
    <t>DEPED</t>
  </si>
  <si>
    <t xml:space="preserve">Basic Education Services </t>
  </si>
  <si>
    <t xml:space="preserve"> (i) Creation of Teaching Positions </t>
  </si>
  <si>
    <t>186,883 teaching items</t>
  </si>
  <si>
    <t xml:space="preserve"> Nationwide </t>
  </si>
  <si>
    <t xml:space="preserve"> (ii) Construction of Classrooms </t>
  </si>
  <si>
    <t xml:space="preserve"> 1. Basic Educational Facilities </t>
  </si>
  <si>
    <t>155,252 classrooms</t>
  </si>
  <si>
    <t xml:space="preserve"> Inter-regional </t>
  </si>
  <si>
    <t>3,600 classrooms</t>
  </si>
  <si>
    <t>733 classrooms</t>
  </si>
  <si>
    <t xml:space="preserve"> (iii) Procurement of Textbooks and Teachers' Manual </t>
  </si>
  <si>
    <t>180,946,644 Number of Textbooks/IMs Purchased</t>
  </si>
  <si>
    <t xml:space="preserve"> (iv) Provision of Science Equipment and Math Tools </t>
  </si>
  <si>
    <t>38,659 elem. schools and 7,749 sec. schools given set of science and math equipment</t>
  </si>
  <si>
    <t xml:space="preserve"> (v) DepEd Computerization Program </t>
  </si>
  <si>
    <t>38,659 elem. schools and 7,749 sec. schools given computer package</t>
  </si>
  <si>
    <t xml:space="preserve"> (vi) School-Based Feeding Program </t>
  </si>
  <si>
    <t>1.7 million severely wasted beneficiaries in Kindergarten to Grade 6</t>
  </si>
  <si>
    <t xml:space="preserve"> (vii) School Based Management </t>
  </si>
  <si>
    <t>38,659 elem. schools and 7,749 sec. schools</t>
  </si>
  <si>
    <t xml:space="preserve"> (viii) Universalization of Kindergarten Education  </t>
  </si>
  <si>
    <t>220K no. of kindergarten classes provided</t>
  </si>
  <si>
    <t xml:space="preserve"> (ix) Strengthened IP/Basic Education Madrasah </t>
  </si>
  <si>
    <t xml:space="preserve"> (x) Alternative Learning System (Accreditation &amp; Equivalency Program) </t>
  </si>
  <si>
    <t xml:space="preserve"> (xi) Abot-Alam Program </t>
  </si>
  <si>
    <t xml:space="preserve"> (xii) Strengthened Technical Vocational Education Program </t>
  </si>
  <si>
    <t>282 sec. schools given techvoc packages</t>
  </si>
  <si>
    <t xml:space="preserve"> (xiii) Human Resource Training and Development Program </t>
  </si>
  <si>
    <t>700 K teachers trained</t>
  </si>
  <si>
    <t xml:space="preserve"> (xiv) Basic Education Sector Transformation (BEST) </t>
  </si>
  <si>
    <t xml:space="preserve"> Reg. 5, 6, 7, 8, 10, NCR </t>
  </si>
  <si>
    <t xml:space="preserve"> (xv) Basic Education Assistance to Mindanao-ARMM (BEAM-ARMM) </t>
  </si>
  <si>
    <t xml:space="preserve"> ARMM </t>
  </si>
  <si>
    <t xml:space="preserve"> (xviii) Govt. Assistance to Students and Teachers in Private Education (GASTPE)  </t>
  </si>
  <si>
    <t>4 million ESC grantees</t>
  </si>
  <si>
    <t>Sub-Total</t>
  </si>
  <si>
    <t xml:space="preserve">Employment Facilitation and Manpower Development Services </t>
  </si>
  <si>
    <t xml:space="preserve"> (i) TESDA Development Fund* </t>
  </si>
  <si>
    <t xml:space="preserve">Support to TVET Provision </t>
  </si>
  <si>
    <t xml:space="preserve"> (ii) Scholarship and Student Assistance Program </t>
  </si>
  <si>
    <t xml:space="preserve">Quality Assurance Services </t>
  </si>
  <si>
    <t xml:space="preserve">  (i) Scholarships </t>
  </si>
  <si>
    <t xml:space="preserve"> (ii) Development of world-class universities </t>
  </si>
  <si>
    <t> 8 Phil. HEIs make it to the list of leading universities in Asia</t>
  </si>
  <si>
    <t xml:space="preserve"> Regions 4, 7, 10, NCR </t>
  </si>
  <si>
    <t xml:space="preserve">Plans/Policies/Standards/Programs for Higher Education </t>
  </si>
  <si>
    <t xml:space="preserve">  (iii) Higher Education Research &amp; Development and Extension Program </t>
  </si>
  <si>
    <t xml:space="preserve"> nationwide with special focus on Regions CAR, 2, 3,, 4-A, 5, 7, 8 &amp; 11 </t>
  </si>
  <si>
    <t xml:space="preserve"> Sub-Total</t>
  </si>
  <si>
    <t xml:space="preserve"> Grand Total </t>
  </si>
  <si>
    <t xml:space="preserve"> 2. SPF- Regular School Building Program (RSBP) </t>
  </si>
  <si>
    <t xml:space="preserve"> 3. Quick Response Program (QRF) </t>
  </si>
  <si>
    <t xml:space="preserve"> 4. School Building Program for Basic Education (SBP4BE) </t>
  </si>
  <si>
    <t>• 18,659 school heads
• 155,743 elementary &amp; 67,731 secondary teachers
• 2000 new classrooms and 20 Community Learning Centers constructed 
• 6 Lighthouse schools built/refurbished
• IP Centers established
• 20 science and 20 computer laboratories provided</t>
  </si>
  <si>
    <r>
      <t>1. Kindergarten and Basic Education</t>
    </r>
    <r>
      <rPr>
        <sz val="12"/>
        <color indexed="8"/>
        <rFont val="Times New Roman"/>
        <family val="1"/>
      </rPr>
      <t xml:space="preserve"> (- 400 Kinder learning centers - 2500 classrooms - 500 library hubs - 2,000 trained school heads - 10,000 trained teachers - 50 accredited private Madaris - 300 trained Madaris managers and teachers)
</t>
    </r>
    <r>
      <rPr>
        <b/>
        <sz val="12"/>
        <color indexed="8"/>
        <rFont val="Times New Roman"/>
        <family val="1"/>
      </rPr>
      <t xml:space="preserve">2. School Health </t>
    </r>
    <r>
      <rPr>
        <sz val="12"/>
        <color indexed="8"/>
        <rFont val="Times New Roman"/>
        <family val="1"/>
      </rPr>
      <t xml:space="preserve">(- 100 trained school health personnel - 3,000 trained parents and community members - 600 trained school heads - 6,000 trained teachers  - 150 WASH facilities - 600 hand washing facilities)
</t>
    </r>
    <r>
      <rPr>
        <b/>
        <sz val="12"/>
        <color indexed="8"/>
        <rFont val="Times New Roman"/>
        <family val="1"/>
      </rPr>
      <t>3. Tech Voc for OSY</t>
    </r>
    <r>
      <rPr>
        <sz val="12"/>
        <color indexed="8"/>
        <rFont val="Times New Roman"/>
        <family val="1"/>
      </rPr>
      <t xml:space="preserve"> (- 200 trained trainers - 500 trained parents and community members - 20,000 skilled OSYs)
</t>
    </r>
    <r>
      <rPr>
        <b/>
        <sz val="12"/>
        <color indexed="8"/>
        <rFont val="Times New Roman"/>
        <family val="1"/>
      </rPr>
      <t xml:space="preserve">4. Alternative Delivery Modes (ADM) </t>
    </r>
    <r>
      <rPr>
        <sz val="12"/>
        <color indexed="8"/>
        <rFont val="Times New Roman"/>
        <family val="1"/>
      </rPr>
      <t>(- 300 trained ADM supervisors - 40,000 trained parents and community members - 1,200 hired ADM teachers - 300 established elementary 1,500 kinder schools through ADM)</t>
    </r>
  </si>
  <si>
    <t xml:space="preserve">Regulatory and Developmental Services for Private Schools </t>
  </si>
  <si>
    <t>1) technology driven outputs;
2) publishable articles; 
3) potentials for economic productivity; 
4) measures against climate change and disasters</t>
  </si>
  <si>
    <t>1) increased number of beneficiaries enrolled in undersubscribed/priority discipline; and 
2) increased completion rate of STUFAPs beneficiaries</t>
  </si>
  <si>
    <t>Modernization of orthopedic center</t>
  </si>
  <si>
    <t>Development Objective Agreement (DOAg) "Family Health Improved - USAID (Oct 2012 - Sept 2017) (Php 6.7 B)</t>
  </si>
  <si>
    <t>V, VI, VII, VIII, X, NCR</t>
  </si>
  <si>
    <t>Total Investment Targets for 2013-2016</t>
  </si>
  <si>
    <t xml:space="preserve"> (in PhP Million)</t>
  </si>
  <si>
    <t>I. Sub-Sector Outcome:  Social Protection Improved</t>
  </si>
  <si>
    <t>1. Pantawid Pamilyang Pilipino Program</t>
  </si>
  <si>
    <t>4.2 million households</t>
  </si>
  <si>
    <t>2. National Household Targeting System for Poverty Reduction (NHTS-PR)</t>
  </si>
  <si>
    <t>database</t>
  </si>
  <si>
    <t>3.  Sustainable Livelihood Program</t>
  </si>
  <si>
    <t xml:space="preserve">  To be provided</t>
  </si>
  <si>
    <t>4. Social Pension for Indigent Senior Citizens</t>
  </si>
  <si>
    <t>1,432,784 (60 yrs old and above)</t>
  </si>
  <si>
    <t>5. Supplementary Feeding Program</t>
  </si>
  <si>
    <t>To be provided</t>
  </si>
  <si>
    <t>6. Special Program for the Employment of Students</t>
  </si>
  <si>
    <t>7. DOLE Integrated Livelihood Program</t>
  </si>
  <si>
    <t>8. Convergence Program to Address Child Labor (HELP ME)</t>
  </si>
  <si>
    <t xml:space="preserve">9. KALAHI CIDSS - 2 with Pilot National Community Driven Development Program (NCDDP)  </t>
  </si>
  <si>
    <t>5  million household beneficiaries</t>
  </si>
  <si>
    <t>33,700 child laborers removed from the worst forms of child labor</t>
  </si>
  <si>
    <t>Sub-Sector Outcome:  Shelter Security Improved</t>
  </si>
  <si>
    <t>1. Housing Program for ISFs in Danger Areas in Metro Manila/NHA</t>
  </si>
  <si>
    <t>2. Resettlement/NHA</t>
  </si>
  <si>
    <t xml:space="preserve">4. Settlements Upgrading/NHA </t>
  </si>
  <si>
    <t>5. AFP/PNP Housing/NHA</t>
  </si>
  <si>
    <t>7. Building Resilience &amp; Awareness to Natural Disasters &amp; Climate Change (BRACE)/Taguig City</t>
  </si>
  <si>
    <t>1,800 households</t>
  </si>
  <si>
    <t>Grand Total</t>
  </si>
  <si>
    <t>(iii) National TB Control Program</t>
  </si>
  <si>
    <t>2017 and beyond</t>
  </si>
  <si>
    <t>2017 and Beyond</t>
  </si>
  <si>
    <t>Department of Health</t>
  </si>
  <si>
    <t>13. Health information system</t>
  </si>
  <si>
    <t>DepED*</t>
  </si>
  <si>
    <t>classrooms</t>
  </si>
  <si>
    <t>Modernization of Region 1 Medical Center</t>
  </si>
  <si>
    <t>Modernization and relocation of Jose Fabella Memorial Hospital</t>
  </si>
  <si>
    <t>12. Health Facility Enhancement Program</t>
  </si>
  <si>
    <t>I</t>
  </si>
  <si>
    <t>Modernization of Jose Fabella Memorial Hospital</t>
  </si>
  <si>
    <t>Modernization of Region I Medical Center</t>
  </si>
  <si>
    <t>1.7 billion</t>
  </si>
  <si>
    <t>1.4 billion</t>
  </si>
  <si>
    <t>modernized maternity hospital; increased bed/patient capacity</t>
  </si>
  <si>
    <t>Public-Private Partnership (PPP) for School Infrastructure Project (PSIP) Phase I</t>
  </si>
  <si>
    <t>Public-Private Partnership (PPP) for School Infrastructure Project (PSIP) Phase II</t>
  </si>
  <si>
    <t>For PSIP-I, construction has just started last February 2013 and will finish on January 2014. 
DepEd official submission indicates only PhP 4 Billion for 2013 for PSIP as a whole.  Cost reflected is based on ICC/NEDA Board Approved Cost (http://www.neda.gov.ph/progs_prj/ICC/ICC%20NB%20Approved%20Projects%2031%20Jan%202013.pdf)</t>
  </si>
  <si>
    <t>For PSIP-II, the bidding is on going and contract is expected to be awarded to the winning bidder by August 2013.  
DepEd official submission indicates only PhP 4 Billion for 2013 for PSIP as a whole.  Cost reflected is based on ICC/NEDA Board Approved Cost (http://www.neda.gov.ph/progs_prj/ICC/ICC%20NB%20Approved%20Projects%2031%20Jan%202013.pdf)</t>
  </si>
  <si>
    <t>I, III and IVA</t>
  </si>
  <si>
    <t>I, II, III, IVB, V, VI, VII, VIII, IX, X, XI, XII, CARAGA and CAR</t>
  </si>
  <si>
    <t>Chapter 5 and 8</t>
  </si>
  <si>
    <t>PSIP-I is a Build-Lease-Transfer contract covering the design, construction and maintenance of 9,303 classrooms in Regions I, III and IV-A. Meanwhile, PSIP-II is a Build-Transfer contract covering the design and construction of 10,679 classrooms in 14 regions nationwide (basically all except NCR, Region IV-A and ARMM)</t>
  </si>
  <si>
    <t>9,301 classrooms (with toilets and furniture)</t>
  </si>
  <si>
    <t>10,680 classrooms (with toilets and furniture).</t>
  </si>
  <si>
    <t>2. Public-Private Partnership (PPP) for School Infrastructure Project (PSIP) Phase I</t>
  </si>
  <si>
    <t>3. Public-Private Partnership (PPP) for School Infrastructure Project (PSIP) Phase II</t>
  </si>
  <si>
    <t xml:space="preserve"> 4. SPF- Regular School Building Program (RSBP) </t>
  </si>
  <si>
    <t xml:space="preserve"> 5. Quick Response Program (QRF) </t>
  </si>
  <si>
    <t xml:space="preserve">6. School Building Program for Basic Education (SBP4BE) </t>
  </si>
  <si>
    <r>
      <t>1. Kindergarten and Basic Education</t>
    </r>
    <r>
      <rPr>
        <sz val="12"/>
        <color indexed="8"/>
        <rFont val="Times New Roman"/>
        <family val="1"/>
      </rPr>
      <t xml:space="preserve"> (- 400 Kinder learning centers - 2500 classrooms - 500 library hubs - 2,000 trained school heads - 10,000 trained teachers - 50 accredited private Madaris - 300 trained Madaris managers and teachers)
2. School Health (- 100 trained school health personnel - 3,000 trained parents and community members - 600 trained school heads - 6,000 trained teachers  - 150 WASH facilities - 600 hand washing facilities)
3. Tech Voc for OSY (- 200 trained trainers - 500 trained parents and community members - 20,000 skilled OSYs)
4. Alternative Delivery Modes (ADM) (- 300 trained ADM supervisors - 40,000 trained parents and community members - 1,200 hired ADM teachers - 300 established elementary 1,500 kinder schools through ADM)</t>
    </r>
  </si>
  <si>
    <t>(reflected in Infrastructure Chapter)</t>
  </si>
  <si>
    <t xml:space="preserve"> nationwide with special focus on Regions CAR, 2, 3, 4-A, 5, 7, 8 &amp; 11 </t>
  </si>
  <si>
    <t>Modernization of Dr. Jose Fabella Memorial Hospital</t>
  </si>
  <si>
    <t>(v) Elimination of public health diseases (Malaria, Rabies)</t>
  </si>
  <si>
    <t>(iv) HIV prevention</t>
  </si>
  <si>
    <t>National Health Insurance Program</t>
  </si>
  <si>
    <t>Governance-related activities</t>
  </si>
  <si>
    <t>MDG-related programs</t>
  </si>
  <si>
    <t>Major Programs</t>
  </si>
  <si>
    <t>Reduction in maternal and child mortality; reduction in infectious disease burden</t>
  </si>
  <si>
    <t>14.7 million families covered by insurance</t>
  </si>
  <si>
    <t>Health Facility  Enhancement Program; and deployment of human resources</t>
  </si>
  <si>
    <t>Upgraded barangay health stations (16,038); upgraded rural health units (3,074); upgraded LGU hospitals (734); upgraded medical centers (70); 200 doctors deployed annually; 9,000 nurses deployed annually; 2000 midwives deployed annually</t>
  </si>
  <si>
    <t>Total Investment Targets for 2014-2016 (in Php millions</t>
  </si>
  <si>
    <t>improved health governance</t>
  </si>
  <si>
    <t>Outputs/outcomes</t>
  </si>
  <si>
    <t>5. HIV prevention and control</t>
  </si>
  <si>
    <t>6. Elimination of public health diseases (malaria, rabies)</t>
  </si>
  <si>
    <t>2.7 million children immunized annually</t>
  </si>
  <si>
    <t>ROADMAP</t>
  </si>
  <si>
    <t>3 million poor women provided with commodities; increased facility-based deliveries; 8 million children provided with vitamin supplements</t>
  </si>
  <si>
    <t>90% cure rate</t>
  </si>
  <si>
    <t>increased patients given treatment</t>
  </si>
  <si>
    <t>Increase in malaria-free provinces; increase in rabies-free LGUs</t>
  </si>
  <si>
    <t>I. Financial risk protection</t>
  </si>
  <si>
    <t>II. Public health MDGs</t>
  </si>
  <si>
    <t>III. Quality Health Care Delivery system</t>
  </si>
  <si>
    <t>hospitals and clinics upgraded</t>
  </si>
  <si>
    <t>200 doctors, 9,700 nurses; and 2,000 midwives deployed annually</t>
  </si>
  <si>
    <t>Modernization of Dr. Jose Fabella</t>
  </si>
  <si>
    <t>Region 1</t>
  </si>
  <si>
    <t>8. Social Development</t>
  </si>
  <si>
    <t>within 2013</t>
  </si>
  <si>
    <t>MMR, IMR</t>
  </si>
  <si>
    <t>(x) Health Governance (Information Systems)</t>
  </si>
  <si>
    <t>II</t>
  </si>
  <si>
    <t>III</t>
  </si>
  <si>
    <t>IVA</t>
  </si>
  <si>
    <t>IVB</t>
  </si>
  <si>
    <t>V</t>
  </si>
  <si>
    <t>VI</t>
  </si>
  <si>
    <t>VII</t>
  </si>
  <si>
    <t>VIII</t>
  </si>
  <si>
    <t>IX</t>
  </si>
  <si>
    <t>X</t>
  </si>
  <si>
    <t>XI</t>
  </si>
  <si>
    <t>XII</t>
  </si>
  <si>
    <t>CAR</t>
  </si>
  <si>
    <t>CARAGA</t>
  </si>
  <si>
    <t xml:space="preserve">Table 2.2 Strategic Core Investment Programs/Projects by Agency/Department </t>
  </si>
  <si>
    <t>Total Investment targets 2013-2016</t>
  </si>
  <si>
    <t>Region-Specific</t>
  </si>
  <si>
    <t>Health lifestyle</t>
  </si>
  <si>
    <t>National Household Targeting System for Poverty Reduction (NHTS-PR)</t>
  </si>
  <si>
    <t>Pantawid Pamilya Program</t>
  </si>
  <si>
    <t>Sustainable Livelihood Program</t>
  </si>
  <si>
    <t>Kapit-Bisig Laban sa Kahirapan KALAHI CIDSS: KKB</t>
  </si>
  <si>
    <t>Social Pension for Indigent Senior Filipino Citizens</t>
  </si>
  <si>
    <t>Supplementary Feeding Program</t>
  </si>
  <si>
    <t>Food for Work Program for Internally Displaced Persons (IDP)</t>
  </si>
  <si>
    <t>Payapa at Masaganang Pamayanan (PAMANA)     *until 2012 only</t>
  </si>
  <si>
    <t>Special Program for Employment of Students (SPES)</t>
  </si>
  <si>
    <t>DOLE Integrated Livelihood Programs (DILP)</t>
  </si>
  <si>
    <t>Convergence Program to Address Child Labor (HELP ME)</t>
  </si>
  <si>
    <t>InterRegional</t>
  </si>
  <si>
    <t>NHIP Coverage rate; enrolment rate</t>
  </si>
  <si>
    <t xml:space="preserve">Infant mortality rate (IMR); </t>
  </si>
  <si>
    <t>TB cure rate; TB case detection rate</t>
  </si>
  <si>
    <t>HIV prevalence</t>
  </si>
  <si>
    <t>Malaria mortality rate; malaria morbidity rate;</t>
  </si>
  <si>
    <t>Maternal mortality ratio; Contraceptive prevalence rate; under-five mortality rate;  prevalence of underweight children; infant mortality rate</t>
  </si>
  <si>
    <t>Health insurance coverage; Maternal mortality ratio; Contraceptive prevalence rate;</t>
  </si>
  <si>
    <t>Maternal mortality ratio;</t>
  </si>
  <si>
    <t>Maternal mortality ratio; Contraceptive prevalence rate; under-five mortality rate;  prevalence of underweight children; insurance coverage</t>
  </si>
  <si>
    <t>Maternal mortality ratio; infant mortality rate</t>
  </si>
  <si>
    <t>Net Enrolment Rate, Cohort Survival Rate, Completion Rate, Achievement rate, Literacy Rate</t>
  </si>
  <si>
    <t>Higher education graduates (#), Higher education faculty with MA and PhD (%),Higher education institutions with accredited program (%),National Passing Percentage (Across Disciplines) in Licensure Exams (%)</t>
  </si>
  <si>
    <t>Certification rate in TVET, TVET graduates (#)</t>
  </si>
  <si>
    <t>Percentage of housing targets met</t>
  </si>
  <si>
    <t>Share of socialized housing to Housing target improved</t>
  </si>
  <si>
    <t>Coverage of Conditional Cash Transfer</t>
  </si>
  <si>
    <t>Percentage of poor families covered by PhilHealth as identified under the NHTS-PR; Coverage of Conditional Cash Transfer</t>
  </si>
  <si>
    <t xml:space="preserve">Number of informal sector workers, unemployed persons, minimum wage earners, and OFWs and their families with capacity building services for livelihood </t>
  </si>
  <si>
    <t>Proportion of poor senior citizens covered by social pension</t>
  </si>
  <si>
    <t>Proportion of households with per capita intake below 100% dietary energy requirement (in %)</t>
  </si>
  <si>
    <t xml:space="preserve">No. of Areas covered by KALAHI-CIDSS </t>
  </si>
  <si>
    <t>Vulnerable employment rate</t>
  </si>
  <si>
    <t>Number of informal sector workers, unemployed persons, minimum wage earners, and OFWs and their families with capacity building services for livelihood</t>
  </si>
  <si>
    <t>TOTAL INVESTMENT TARGETS</t>
  </si>
  <si>
    <r>
      <t xml:space="preserve">Organizational Outcome: </t>
    </r>
    <r>
      <rPr>
        <sz val="10"/>
        <rFont val="Calibri"/>
        <family val="2"/>
      </rPr>
      <t>Improved Access to Quality Basic Education</t>
    </r>
  </si>
  <si>
    <r>
      <t xml:space="preserve">Note: Breakdown for 2011 targets: </t>
    </r>
    <r>
      <rPr>
        <i/>
        <sz val="10"/>
        <rFont val="Calibri"/>
        <family val="2"/>
      </rPr>
      <t>Level 1 (</t>
    </r>
    <r>
      <rPr>
        <sz val="10"/>
        <rFont val="Calibri"/>
        <family val="2"/>
      </rPr>
      <t xml:space="preserve">9,694,000.00) </t>
    </r>
    <r>
      <rPr>
        <i/>
        <sz val="10"/>
        <rFont val="Calibri"/>
        <family val="2"/>
      </rPr>
      <t xml:space="preserve">4Ps </t>
    </r>
    <r>
      <rPr>
        <sz val="10"/>
        <rFont val="Calibri"/>
        <family val="2"/>
      </rPr>
      <t xml:space="preserve">(20,815,000.00) </t>
    </r>
    <r>
      <rPr>
        <i/>
        <sz val="10"/>
        <rFont val="Calibri"/>
        <family val="2"/>
      </rPr>
      <t>Level 2 (</t>
    </r>
    <r>
      <rPr>
        <sz val="10"/>
        <rFont val="Calibri"/>
        <family val="2"/>
      </rPr>
      <t>21,115,000.00)</t>
    </r>
  </si>
  <si>
    <r>
      <rPr>
        <i/>
        <sz val="10"/>
        <rFont val="Calibri"/>
        <family val="2"/>
      </rPr>
      <t>(a)</t>
    </r>
    <r>
      <rPr>
        <sz val="10"/>
        <rFont val="Calibri"/>
        <family val="2"/>
      </rPr>
      <t xml:space="preserve"> No. of internally displaced families due to conflict in Mindanao to be provided assistance through cash/food for training/work
</t>
    </r>
    <r>
      <rPr>
        <i/>
        <sz val="10"/>
        <rFont val="Calibri"/>
        <family val="2"/>
      </rPr>
      <t>(b)</t>
    </r>
    <r>
      <rPr>
        <sz val="10"/>
        <rFont val="Calibri"/>
        <family val="2"/>
      </rPr>
      <t xml:space="preserve"> No. of displaced families due to typhoon Ondoy, Peping and Santi with totally damaged shelter units to be provided assistance through cash/food for training/work (C/FT/W)</t>
    </r>
  </si>
  <si>
    <r>
      <rPr>
        <i/>
        <sz val="10"/>
        <rFont val="Calibri"/>
        <family val="2"/>
      </rPr>
      <t xml:space="preserve">(a) </t>
    </r>
    <r>
      <rPr>
        <sz val="10"/>
        <rFont val="Calibri"/>
        <family val="2"/>
      </rPr>
      <t xml:space="preserve">No. of conflict affected barangays provided with 
- Livelihood Activities
- Core Shelter (new indicator)
</t>
    </r>
    <r>
      <rPr>
        <i/>
        <sz val="10"/>
        <rFont val="Calibri"/>
        <family val="2"/>
      </rPr>
      <t>(b)</t>
    </r>
    <r>
      <rPr>
        <sz val="10"/>
        <rFont val="Calibri"/>
        <family val="2"/>
      </rPr>
      <t xml:space="preserve"> No. of core shelter unit to be constructed</t>
    </r>
  </si>
  <si>
    <r>
      <t xml:space="preserve">Organizational Outcome : </t>
    </r>
    <r>
      <rPr>
        <sz val="10"/>
        <rFont val="Calibri"/>
        <family val="2"/>
      </rPr>
      <t>Human Resources Competitiveness, Enterprise Productivity,  Social Protection and Industrial Peace through Social Partnership</t>
    </r>
  </si>
  <si>
    <r>
      <rPr>
        <b/>
        <sz val="10"/>
        <rFont val="Calibri"/>
        <family val="2"/>
      </rPr>
      <t>MFO 1</t>
    </r>
    <r>
      <rPr>
        <sz val="10"/>
        <rFont val="Calibri"/>
        <family val="2"/>
      </rPr>
      <t xml:space="preserve"> : Employment Facilitation and Manpower Development Services</t>
    </r>
  </si>
  <si>
    <r>
      <t xml:space="preserve">MFO 2: </t>
    </r>
    <r>
      <rPr>
        <sz val="10"/>
        <rFont val="Calibri"/>
        <family val="2"/>
      </rPr>
      <t>Employment Enhancement, Empowerment and Welfare Services</t>
    </r>
  </si>
  <si>
    <r>
      <t xml:space="preserve">(ix) TESDA Development Fund
</t>
    </r>
    <r>
      <rPr>
        <i/>
        <sz val="10"/>
        <color indexed="10"/>
        <rFont val="Calibri"/>
        <family val="2"/>
      </rPr>
      <t>(no annual breakdown)</t>
    </r>
  </si>
  <si>
    <r>
      <t xml:space="preserve">(ii) Building Resilience and Awareness of Metro Manila Communities to Natural Disasters and Climate Change (BRACE)
</t>
    </r>
    <r>
      <rPr>
        <i/>
        <sz val="10"/>
        <color indexed="10"/>
        <rFont val="Calibri"/>
        <family val="2"/>
      </rPr>
      <t>(no annual breakdown)</t>
    </r>
  </si>
  <si>
    <r>
      <t xml:space="preserve">Resettlement
</t>
    </r>
    <r>
      <rPr>
        <i/>
        <sz val="10"/>
        <color indexed="10"/>
        <rFont val="Calibri"/>
        <family val="2"/>
      </rPr>
      <t>(no annual breakdown)</t>
    </r>
  </si>
  <si>
    <r>
      <t xml:space="preserve">Emergency Housing Assistance
</t>
    </r>
    <r>
      <rPr>
        <i/>
        <sz val="10"/>
        <color indexed="10"/>
        <rFont val="Calibri"/>
        <family val="2"/>
      </rPr>
      <t>(no annual breakdown)</t>
    </r>
  </si>
  <si>
    <r>
      <t xml:space="preserve">Settlements Upgrading
</t>
    </r>
    <r>
      <rPr>
        <i/>
        <sz val="10"/>
        <color indexed="10"/>
        <rFont val="Calibri"/>
        <family val="2"/>
      </rPr>
      <t>(no annual breakdown)</t>
    </r>
  </si>
  <si>
    <r>
      <t xml:space="preserve">AFP/PNP Housing
</t>
    </r>
    <r>
      <rPr>
        <i/>
        <sz val="10"/>
        <color indexed="10"/>
        <rFont val="Calibri"/>
        <family val="2"/>
      </rPr>
      <t>(no annual breakdown)</t>
    </r>
  </si>
  <si>
    <r>
      <t xml:space="preserve">Community Mortgage Program
</t>
    </r>
    <r>
      <rPr>
        <i/>
        <sz val="10"/>
        <color indexed="10"/>
        <rFont val="Calibri"/>
        <family val="2"/>
      </rPr>
      <t>(no annual breakdown)</t>
    </r>
  </si>
  <si>
    <r>
      <t>No. of Areas covered by KALAHI-CIDSS</t>
    </r>
    <r>
      <rPr>
        <vertAlign val="superscript"/>
        <sz val="10"/>
        <color indexed="10"/>
        <rFont val="Calibri"/>
        <family val="2"/>
      </rPr>
      <t>4</t>
    </r>
  </si>
  <si>
    <t>Total
2013-2016</t>
  </si>
  <si>
    <t>Health Lifestyle</t>
  </si>
  <si>
    <t>Sector Outcome: Equalized Development Oppurtunities</t>
  </si>
  <si>
    <t>Subsector Outcome: Improved Health and Nutrition Status</t>
  </si>
  <si>
    <t>Subsector Outcome : Enhanced Knowledge and Skills</t>
  </si>
  <si>
    <t>Subsector Outcome: Expanded Social Protection</t>
  </si>
  <si>
    <t>Expected Output [in households)</t>
  </si>
  <si>
    <t>3. Housing Assistance for calamity Victims/NHA</t>
  </si>
  <si>
    <t>6. Community Mortgage Program/SHFC</t>
  </si>
  <si>
    <t>NHA Nationwide</t>
  </si>
  <si>
    <t>SHFC Nationwide</t>
  </si>
  <si>
    <t>NHA Region specific</t>
  </si>
  <si>
    <t>Total nationwide</t>
  </si>
  <si>
    <t>interregional</t>
  </si>
  <si>
    <t>Agency 
Name</t>
  </si>
  <si>
    <r>
      <t>DSWD with HDPRCC</t>
    </r>
    <r>
      <rPr>
        <vertAlign val="superscript"/>
        <sz val="10"/>
        <rFont val="Arial"/>
        <family val="2"/>
      </rPr>
      <t>1</t>
    </r>
    <r>
      <rPr>
        <sz val="10"/>
        <rFont val="Arial"/>
        <family val="2"/>
      </rPr>
      <t xml:space="preserve">
LGU</t>
    </r>
  </si>
  <si>
    <t>(AO)</t>
  </si>
  <si>
    <t>(AP)</t>
  </si>
  <si>
    <t>(AQ)</t>
  </si>
  <si>
    <t>(AR)</t>
  </si>
  <si>
    <t>(AS)</t>
  </si>
  <si>
    <t>(AT)</t>
  </si>
  <si>
    <t>(AU)</t>
  </si>
  <si>
    <t>(AV)</t>
  </si>
  <si>
    <t>(AW)</t>
  </si>
  <si>
    <t>(AX)</t>
  </si>
  <si>
    <t>6 &amp; 10</t>
  </si>
  <si>
    <t>Total Investment Targets</t>
  </si>
  <si>
    <t>Modernization of Philippine Orthopedic Center (PPP) (2013-2016)</t>
  </si>
  <si>
    <t>Societal Goal : Inclusive Growth and Poverty Reduction</t>
  </si>
  <si>
    <t>Investment Targets In Thousand Pesos (PhP '000)</t>
  </si>
  <si>
    <t>Continuing Investment Targets</t>
  </si>
  <si>
    <t>Overall Target</t>
  </si>
  <si>
    <t xml:space="preserve">Net enrolment, cohort survival, completion, achievement &amp; literacy rate’ </t>
  </si>
  <si>
    <t>Morbidity rates; mortality rates</t>
  </si>
  <si>
    <t>CAR, I, II, III, IV-A, IV-B, V, VI, VII, VIII, IX, X, XI, XII, XIII</t>
  </si>
  <si>
    <t>Total
 (2013-2016)</t>
  </si>
  <si>
    <t>(AY)</t>
  </si>
  <si>
    <t>Nationwide/ Interregional/ Region-Specific</t>
  </si>
  <si>
    <t>Program/Project Description</t>
  </si>
  <si>
    <t>Program/Project Title</t>
  </si>
  <si>
    <t>Maternal Mortality Ratio; infant mortality rate; TB cure rate; contraceptive prevalence rate</t>
  </si>
  <si>
    <t>Basic Education Sector Transformation (BEST)</t>
  </si>
  <si>
    <t>Abot-Alam Program</t>
  </si>
  <si>
    <t>CAR, I, II, III, IV-A, V, VI, VII, VIII, IX, X, XI, XII, XIII, ARMM</t>
  </si>
  <si>
    <t>I, III and IV-A</t>
  </si>
  <si>
    <t>I, II, III, IV-B, V, VI, VII, VIII, IX, X, XI, XII, XIII and CAR</t>
  </si>
  <si>
    <t>NEDA Board confirmation on 29 May 2014. NEDA Board approved cost is PhP 2,000.25 million.</t>
  </si>
  <si>
    <t>NEDA Board confirmation on 19 December 2011. NEDA Board approved cost is PhP9,891.83 million.</t>
  </si>
  <si>
    <t>NEDA Board confirmation on 29 November 2012. NEDA Board approved cost is PhP13,140.28 million.</t>
  </si>
  <si>
    <t>NEDA Board confirmation on 26 June 2013. NEDA Board approved cost is PhP9,419.00 million.</t>
  </si>
  <si>
    <t>NEDA Board ad referendum approval on 11 March 2014 of proposed project changes on coverage, cost, and implementation period. NEDA Board approved cost is PhP 43,896.00 million.</t>
  </si>
  <si>
    <t>NEDA Board confirmation on 18 September 2012. NEDA Board approved cost is PhP 8,940.62 million.</t>
  </si>
  <si>
    <t>NEDA Board confirmation on 18 September 2012. NEDA Board approved cost is PhP 5,607.79 million.</t>
  </si>
</sst>
</file>

<file path=xl/styles.xml><?xml version="1.0" encoding="utf-8"?>
<styleSheet xmlns="http://schemas.openxmlformats.org/spreadsheetml/2006/main">
  <numFmts count="5">
    <numFmt numFmtId="43" formatCode="_(* #,##0.00_);_(* \(#,##0.00\);_(* &quot;-&quot;??_);_(@_)"/>
    <numFmt numFmtId="164" formatCode="_(* #,##0_);_(* \(#,##0\);_(* &quot;-&quot;??_);_(@_)"/>
    <numFmt numFmtId="165" formatCode="#,##0,_);\(#,##0,\)"/>
    <numFmt numFmtId="166" formatCode="#,##0.000,_);\(#,##0.000,\)"/>
    <numFmt numFmtId="167" formatCode="0.0"/>
  </numFmts>
  <fonts count="50">
    <font>
      <sz val="11"/>
      <color theme="1"/>
      <name val="Calibri"/>
      <family val="2"/>
      <scheme val="minor"/>
    </font>
    <font>
      <sz val="11"/>
      <color indexed="8"/>
      <name val="Calibri"/>
      <family val="2"/>
    </font>
    <font>
      <sz val="11"/>
      <color indexed="8"/>
      <name val="Calibri"/>
      <family val="2"/>
    </font>
    <font>
      <b/>
      <sz val="9"/>
      <color indexed="81"/>
      <name val="Tahoma"/>
      <family val="2"/>
    </font>
    <font>
      <sz val="9"/>
      <color indexed="81"/>
      <name val="Tahoma"/>
      <family val="2"/>
    </font>
    <font>
      <sz val="10"/>
      <name val="Calibri"/>
      <family val="2"/>
    </font>
    <font>
      <b/>
      <sz val="10"/>
      <name val="Calibri"/>
      <family val="2"/>
    </font>
    <font>
      <i/>
      <sz val="10"/>
      <name val="Calibri"/>
      <family val="2"/>
    </font>
    <font>
      <sz val="10"/>
      <name val="Arial"/>
      <family val="2"/>
    </font>
    <font>
      <b/>
      <sz val="10"/>
      <name val="Arial"/>
      <family val="2"/>
    </font>
    <font>
      <i/>
      <sz val="10"/>
      <color indexed="10"/>
      <name val="Calibri"/>
      <family val="2"/>
    </font>
    <font>
      <vertAlign val="superscript"/>
      <sz val="10"/>
      <name val="Calibri"/>
      <family val="2"/>
    </font>
    <font>
      <b/>
      <sz val="12"/>
      <color indexed="8"/>
      <name val="Times New Roman"/>
      <family val="1"/>
    </font>
    <font>
      <sz val="12"/>
      <color indexed="8"/>
      <name val="Times New Roman"/>
      <family val="1"/>
    </font>
    <font>
      <sz val="12"/>
      <name val="Times New Roman"/>
      <family val="1"/>
    </font>
    <font>
      <vertAlign val="superscript"/>
      <sz val="10"/>
      <color indexed="10"/>
      <name val="Calibri"/>
      <family val="2"/>
    </font>
    <font>
      <sz val="10"/>
      <color indexed="8"/>
      <name val="Arial"/>
      <family val="2"/>
    </font>
    <font>
      <vertAlign val="superscript"/>
      <sz val="10"/>
      <name val="Arial"/>
      <family val="2"/>
    </font>
    <font>
      <sz val="11"/>
      <color theme="1"/>
      <name val="Calibri"/>
      <family val="2"/>
      <scheme val="minor"/>
    </font>
    <font>
      <b/>
      <sz val="11"/>
      <color theme="0"/>
      <name val="Calibri"/>
      <family val="2"/>
      <scheme val="minor"/>
    </font>
    <font>
      <b/>
      <sz val="11"/>
      <color theme="1"/>
      <name val="Calibri"/>
      <family val="2"/>
      <scheme val="minor"/>
    </font>
    <font>
      <sz val="10"/>
      <name val="Calibri"/>
      <family val="2"/>
      <scheme val="minor"/>
    </font>
    <font>
      <b/>
      <sz val="10"/>
      <name val="Calibri"/>
      <family val="2"/>
      <scheme val="minor"/>
    </font>
    <font>
      <sz val="10"/>
      <color theme="1"/>
      <name val="Calibri"/>
      <family val="2"/>
      <scheme val="minor"/>
    </font>
    <font>
      <b/>
      <sz val="10"/>
      <color theme="1"/>
      <name val="Calibri"/>
      <family val="2"/>
      <scheme val="minor"/>
    </font>
    <font>
      <sz val="10"/>
      <color indexed="8"/>
      <name val="Calibri"/>
      <family val="2"/>
      <scheme val="minor"/>
    </font>
    <font>
      <b/>
      <sz val="10"/>
      <color indexed="8"/>
      <name val="Calibri"/>
      <family val="2"/>
      <scheme val="minor"/>
    </font>
    <font>
      <sz val="10"/>
      <color rgb="FFFF0000"/>
      <name val="Calibri"/>
      <family val="2"/>
      <scheme val="minor"/>
    </font>
    <font>
      <i/>
      <sz val="10"/>
      <name val="Calibri"/>
      <family val="2"/>
      <scheme val="minor"/>
    </font>
    <font>
      <sz val="10"/>
      <color rgb="FF000000"/>
      <name val="Calibri"/>
      <family val="2"/>
      <scheme val="minor"/>
    </font>
    <font>
      <sz val="12"/>
      <color theme="1"/>
      <name val="Times New Roman"/>
      <family val="1"/>
    </font>
    <font>
      <b/>
      <sz val="12"/>
      <color rgb="FFFFFFFF"/>
      <name val="Times New Roman"/>
      <family val="1"/>
    </font>
    <font>
      <sz val="12"/>
      <color rgb="FF000000"/>
      <name val="Times New Roman"/>
      <family val="1"/>
    </font>
    <font>
      <b/>
      <sz val="12"/>
      <color rgb="FF000000"/>
      <name val="Times New Roman"/>
      <family val="1"/>
    </font>
    <font>
      <sz val="12"/>
      <color theme="1"/>
      <name val="Calibri"/>
      <family val="2"/>
      <scheme val="minor"/>
    </font>
    <font>
      <sz val="12"/>
      <color rgb="FFFFFFFF"/>
      <name val="Times New Roman"/>
      <family val="1"/>
    </font>
    <font>
      <b/>
      <sz val="12"/>
      <color theme="1"/>
      <name val="Times New Roman"/>
      <family val="1"/>
    </font>
    <font>
      <sz val="11"/>
      <color theme="1"/>
      <name val="Arial"/>
      <family val="2"/>
    </font>
    <font>
      <i/>
      <sz val="12"/>
      <color theme="1"/>
      <name val="Times New Roman"/>
      <family val="1"/>
    </font>
    <font>
      <sz val="12"/>
      <name val="Cambria"/>
      <family val="1"/>
      <scheme val="major"/>
    </font>
    <font>
      <b/>
      <sz val="12"/>
      <name val="Cambria"/>
      <family val="1"/>
      <scheme val="major"/>
    </font>
    <font>
      <sz val="11"/>
      <name val="Cambria"/>
      <family val="1"/>
      <scheme val="major"/>
    </font>
    <font>
      <sz val="12"/>
      <color theme="0" tint="-4.9989318521683403E-2"/>
      <name val="Times New Roman"/>
      <family val="1"/>
    </font>
    <font>
      <i/>
      <sz val="12"/>
      <color rgb="FFFF0000"/>
      <name val="Times New Roman"/>
      <family val="1"/>
    </font>
    <font>
      <b/>
      <sz val="10"/>
      <color rgb="FFFF0000"/>
      <name val="Arial"/>
      <family val="2"/>
    </font>
    <font>
      <b/>
      <sz val="12"/>
      <color rgb="FFFF0000"/>
      <name val="Calibri"/>
      <family val="2"/>
      <scheme val="minor"/>
    </font>
    <font>
      <b/>
      <sz val="10"/>
      <color rgb="FFFF0000"/>
      <name val="Calibri"/>
      <family val="2"/>
      <scheme val="minor"/>
    </font>
    <font>
      <sz val="10"/>
      <color rgb="FFFFC000"/>
      <name val="Calibri"/>
      <family val="2"/>
      <scheme val="minor"/>
    </font>
    <font>
      <sz val="10"/>
      <color theme="1"/>
      <name val="Arial"/>
      <family val="2"/>
    </font>
    <font>
      <b/>
      <sz val="10"/>
      <color theme="1"/>
      <name val="Arial"/>
      <family val="2"/>
    </font>
  </fonts>
  <fills count="2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rgb="FF1F497D"/>
        <bgColor indexed="64"/>
      </patternFill>
    </fill>
    <fill>
      <patternFill patternType="solid">
        <fgColor theme="0" tint="-0.14999847407452621"/>
        <bgColor indexed="64"/>
      </patternFill>
    </fill>
    <fill>
      <patternFill patternType="solid">
        <fgColor rgb="FFC5D9F1"/>
        <bgColor indexed="64"/>
      </patternFill>
    </fill>
    <fill>
      <patternFill patternType="solid">
        <fgColor theme="3" tint="0.79998168889431442"/>
        <bgColor indexed="64"/>
      </patternFill>
    </fill>
    <fill>
      <patternFill patternType="solid">
        <fgColor rgb="FF4F81BD"/>
        <bgColor indexed="64"/>
      </patternFill>
    </fill>
    <fill>
      <patternFill patternType="solid">
        <fgColor rgb="FFD3DFEE"/>
        <bgColor indexed="64"/>
      </patternFill>
    </fill>
    <fill>
      <patternFill patternType="solid">
        <fgColor theme="4"/>
        <bgColor indexed="64"/>
      </patternFill>
    </fill>
    <fill>
      <patternFill patternType="solid">
        <fgColor rgb="FFC6D9F1"/>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rgb="FFE5E0EC"/>
        <bgColor indexed="64"/>
      </patternFill>
    </fill>
    <fill>
      <patternFill patternType="solid">
        <fgColor theme="6"/>
        <bgColor indexed="64"/>
      </patternFill>
    </fill>
    <fill>
      <patternFill patternType="solid">
        <fgColor theme="3" tint="0.39997558519241921"/>
        <bgColor indexed="64"/>
      </patternFill>
    </fill>
    <fill>
      <patternFill patternType="solid">
        <fgColor theme="3" tint="-0.49998474074526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rgb="FFEEECE1"/>
      </right>
      <top/>
      <bottom/>
      <diagonal/>
    </border>
    <border>
      <left style="medium">
        <color rgb="FFEEECE1"/>
      </left>
      <right/>
      <top/>
      <bottom/>
      <diagonal/>
    </border>
    <border>
      <left style="medium">
        <color rgb="FF7BA0CD"/>
      </left>
      <right/>
      <top style="medium">
        <color rgb="FF7BA0CD"/>
      </top>
      <bottom/>
      <diagonal/>
    </border>
    <border>
      <left style="medium">
        <color rgb="FF7BA0CD"/>
      </left>
      <right/>
      <top/>
      <bottom style="medium">
        <color rgb="FF7BA0CD"/>
      </bottom>
      <diagonal/>
    </border>
    <border>
      <left/>
      <right/>
      <top style="medium">
        <color rgb="FF7BA0CD"/>
      </top>
      <bottom/>
      <diagonal/>
    </border>
    <border>
      <left/>
      <right/>
      <top/>
      <bottom style="medium">
        <color rgb="FF7BA0CD"/>
      </bottom>
      <diagonal/>
    </border>
    <border>
      <left/>
      <right style="medium">
        <color rgb="FF7BA0CD"/>
      </right>
      <top/>
      <bottom style="medium">
        <color rgb="FF7BA0CD"/>
      </bottom>
      <diagonal/>
    </border>
    <border>
      <left style="medium">
        <color rgb="FF7BA0CD"/>
      </left>
      <right/>
      <top/>
      <bottom/>
      <diagonal/>
    </border>
    <border>
      <left/>
      <right style="medium">
        <color rgb="FF7BA0CD"/>
      </right>
      <top/>
      <bottom/>
      <diagonal/>
    </border>
    <border>
      <left/>
      <right style="medium">
        <color rgb="FF7BA0CD"/>
      </right>
      <top style="medium">
        <color rgb="FF7BA0CD"/>
      </top>
      <bottom/>
      <diagonal/>
    </border>
    <border>
      <left style="medium">
        <color rgb="FFEEECE1"/>
      </left>
      <right/>
      <top style="medium">
        <color rgb="FFEEECE1"/>
      </top>
      <bottom/>
      <diagonal/>
    </border>
    <border>
      <left/>
      <right/>
      <top style="medium">
        <color rgb="FFEEECE1"/>
      </top>
      <bottom/>
      <diagonal/>
    </border>
    <border>
      <left/>
      <right style="medium">
        <color rgb="FFEEECE1"/>
      </right>
      <top style="medium">
        <color rgb="FFEEECE1"/>
      </top>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right style="medium">
        <color rgb="FF7BA0CD"/>
      </right>
      <top style="medium">
        <color rgb="FF7BA0CD"/>
      </top>
      <bottom style="medium">
        <color rgb="FF7BA0CD"/>
      </bottom>
      <diagonal/>
    </border>
  </borders>
  <cellStyleXfs count="6">
    <xf numFmtId="0" fontId="0" fillId="0" borderId="0"/>
    <xf numFmtId="43" fontId="18"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8" fillId="0" borderId="0" applyFont="0" applyFill="0" applyBorder="0" applyAlignment="0" applyProtection="0"/>
  </cellStyleXfs>
  <cellXfs count="552">
    <xf numFmtId="0" fontId="0" fillId="0" borderId="0" xfId="0"/>
    <xf numFmtId="0" fontId="21" fillId="2" borderId="1" xfId="0" applyFont="1" applyFill="1" applyBorder="1" applyAlignment="1">
      <alignment horizontal="left" vertical="top" wrapText="1"/>
    </xf>
    <xf numFmtId="0" fontId="21" fillId="2" borderId="1" xfId="0" applyFont="1" applyFill="1" applyBorder="1" applyAlignment="1">
      <alignment vertical="top" wrapText="1"/>
    </xf>
    <xf numFmtId="0" fontId="22" fillId="2" borderId="1" xfId="0" applyFont="1" applyFill="1" applyBorder="1" applyAlignment="1">
      <alignment vertical="top" wrapText="1"/>
    </xf>
    <xf numFmtId="0" fontId="21" fillId="2" borderId="1" xfId="0" applyFont="1" applyFill="1" applyBorder="1" applyAlignment="1">
      <alignment horizontal="center" vertical="center" wrapText="1"/>
    </xf>
    <xf numFmtId="0" fontId="21" fillId="0" borderId="1" xfId="0" applyFont="1" applyFill="1" applyBorder="1" applyAlignment="1">
      <alignment vertical="top"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left" vertical="top" wrapText="1"/>
    </xf>
    <xf numFmtId="0" fontId="23" fillId="0" borderId="1" xfId="0" applyFont="1" applyBorder="1" applyAlignment="1">
      <alignment wrapText="1"/>
    </xf>
    <xf numFmtId="0" fontId="26" fillId="0" borderId="4" xfId="0" applyFont="1" applyBorder="1" applyAlignment="1">
      <alignment vertical="center" wrapText="1"/>
    </xf>
    <xf numFmtId="0" fontId="21" fillId="2" borderId="1" xfId="0" applyFont="1" applyFill="1" applyBorder="1" applyAlignment="1">
      <alignment horizontal="left" vertical="center" wrapText="1"/>
    </xf>
    <xf numFmtId="165" fontId="21" fillId="2" borderId="1" xfId="0" applyNumberFormat="1" applyFont="1" applyFill="1" applyBorder="1" applyAlignment="1">
      <alignment vertical="center" wrapText="1"/>
    </xf>
    <xf numFmtId="0" fontId="26" fillId="0" borderId="5" xfId="0" applyFont="1" applyBorder="1" applyAlignment="1">
      <alignment vertical="center" wrapText="1"/>
    </xf>
    <xf numFmtId="0" fontId="25" fillId="0" borderId="5" xfId="0" applyFont="1" applyBorder="1" applyAlignment="1">
      <alignment vertical="center" wrapText="1"/>
    </xf>
    <xf numFmtId="0" fontId="25" fillId="0" borderId="5" xfId="0" applyFont="1" applyFill="1" applyBorder="1" applyAlignment="1">
      <alignment vertical="center" wrapText="1"/>
    </xf>
    <xf numFmtId="0" fontId="21" fillId="0" borderId="1"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pplyBorder="1" applyAlignment="1">
      <alignment horizontal="center" vertical="center" wrapText="1"/>
    </xf>
    <xf numFmtId="0" fontId="22" fillId="2" borderId="1"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21" fillId="2" borderId="1" xfId="0" applyFont="1" applyFill="1" applyBorder="1" applyAlignment="1">
      <alignment vertical="center" wrapText="1"/>
    </xf>
    <xf numFmtId="0" fontId="26" fillId="0" borderId="5" xfId="0" applyFont="1" applyFill="1" applyBorder="1" applyAlignment="1">
      <alignment vertical="center" wrapText="1"/>
    </xf>
    <xf numFmtId="0" fontId="21" fillId="0" borderId="1" xfId="0" applyFont="1" applyFill="1" applyBorder="1" applyAlignment="1">
      <alignment vertical="center" wrapText="1"/>
    </xf>
    <xf numFmtId="0" fontId="21" fillId="3" borderId="1" xfId="0" applyFont="1" applyFill="1" applyBorder="1" applyAlignment="1">
      <alignment horizontal="left" vertical="center" wrapText="1"/>
    </xf>
    <xf numFmtId="0" fontId="22" fillId="4" borderId="1" xfId="0" applyFont="1" applyFill="1" applyBorder="1" applyAlignment="1">
      <alignment horizontal="left" vertical="center" wrapText="1"/>
    </xf>
    <xf numFmtId="0" fontId="21" fillId="4"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22" fillId="3"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4" borderId="1" xfId="0" applyFont="1" applyFill="1" applyBorder="1" applyAlignment="1">
      <alignment horizontal="left" vertical="top" wrapText="1"/>
    </xf>
    <xf numFmtId="0" fontId="0" fillId="0" borderId="0" xfId="0" applyFont="1" applyFill="1"/>
    <xf numFmtId="0" fontId="20" fillId="0" borderId="0" xfId="0" applyFont="1" applyFill="1" applyAlignment="1">
      <alignment horizontal="center"/>
    </xf>
    <xf numFmtId="165" fontId="21" fillId="2" borderId="0" xfId="0" applyNumberFormat="1" applyFont="1" applyFill="1" applyBorder="1" applyAlignment="1">
      <alignment vertical="center" wrapText="1"/>
    </xf>
    <xf numFmtId="0" fontId="21" fillId="2" borderId="0" xfId="0" applyFont="1" applyFill="1" applyBorder="1" applyAlignment="1">
      <alignment vertical="center" wrapText="1"/>
    </xf>
    <xf numFmtId="0" fontId="22" fillId="2" borderId="0" xfId="0" applyFont="1" applyFill="1" applyBorder="1" applyAlignment="1">
      <alignment horizontal="center" vertical="center" wrapText="1"/>
    </xf>
    <xf numFmtId="0" fontId="26" fillId="0" borderId="8" xfId="0" applyFont="1" applyBorder="1" applyAlignment="1">
      <alignment horizontal="left" vertical="center" wrapText="1"/>
    </xf>
    <xf numFmtId="165" fontId="22" fillId="2" borderId="1" xfId="0" applyNumberFormat="1" applyFont="1" applyFill="1" applyBorder="1" applyAlignment="1">
      <alignment vertical="center" wrapText="1"/>
    </xf>
    <xf numFmtId="0" fontId="21" fillId="2" borderId="1" xfId="0" applyNumberFormat="1" applyFont="1" applyFill="1" applyBorder="1" applyAlignment="1">
      <alignment horizontal="left" vertical="center" wrapText="1"/>
    </xf>
    <xf numFmtId="164" fontId="21" fillId="2" borderId="1" xfId="3" applyNumberFormat="1" applyFont="1" applyFill="1" applyBorder="1" applyAlignment="1">
      <alignment horizontal="right" vertical="center" wrapText="1"/>
    </xf>
    <xf numFmtId="0" fontId="22" fillId="2" borderId="0" xfId="0" applyFont="1" applyFill="1" applyBorder="1" applyAlignment="1">
      <alignment vertical="center" wrapText="1"/>
    </xf>
    <xf numFmtId="165" fontId="22" fillId="2" borderId="0" xfId="0" applyNumberFormat="1" applyFont="1" applyFill="1" applyBorder="1" applyAlignment="1">
      <alignment vertical="center" wrapText="1"/>
    </xf>
    <xf numFmtId="166" fontId="22" fillId="2" borderId="0" xfId="0" applyNumberFormat="1" applyFont="1" applyFill="1" applyBorder="1" applyAlignment="1">
      <alignment vertical="center" wrapText="1"/>
    </xf>
    <xf numFmtId="0" fontId="27" fillId="0" borderId="0" xfId="0" applyFont="1" applyBorder="1" applyAlignment="1">
      <alignment vertical="center" wrapText="1"/>
    </xf>
    <xf numFmtId="0" fontId="26" fillId="4" borderId="4" xfId="0" applyFont="1" applyFill="1" applyBorder="1" applyAlignment="1">
      <alignment vertical="center" wrapText="1"/>
    </xf>
    <xf numFmtId="0" fontId="21" fillId="4" borderId="1" xfId="0" applyFont="1" applyFill="1" applyBorder="1" applyAlignment="1">
      <alignment vertical="center" wrapText="1"/>
    </xf>
    <xf numFmtId="165" fontId="21" fillId="4" borderId="1" xfId="0" applyNumberFormat="1" applyFont="1" applyFill="1" applyBorder="1" applyAlignment="1">
      <alignment vertical="center" wrapText="1"/>
    </xf>
    <xf numFmtId="164" fontId="22" fillId="2" borderId="0" xfId="3" applyNumberFormat="1" applyFont="1" applyFill="1" applyBorder="1" applyAlignment="1">
      <alignment horizontal="right" vertical="center" wrapText="1"/>
    </xf>
    <xf numFmtId="164" fontId="22" fillId="3" borderId="1" xfId="3" applyNumberFormat="1" applyFont="1" applyFill="1" applyBorder="1" applyAlignment="1">
      <alignment horizontal="center" vertical="center" wrapText="1"/>
    </xf>
    <xf numFmtId="0" fontId="22" fillId="4" borderId="1" xfId="0" applyFont="1" applyFill="1" applyBorder="1" applyAlignment="1">
      <alignment horizontal="center" vertical="center" wrapText="1"/>
    </xf>
    <xf numFmtId="164" fontId="22" fillId="4" borderId="1" xfId="3"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164" fontId="22" fillId="0" borderId="1" xfId="3" applyNumberFormat="1" applyFont="1" applyFill="1" applyBorder="1" applyAlignment="1">
      <alignment horizontal="center" vertical="center" wrapText="1"/>
    </xf>
    <xf numFmtId="0" fontId="22" fillId="5" borderId="1" xfId="0" applyFont="1" applyFill="1" applyBorder="1" applyAlignment="1">
      <alignment horizontal="center" vertical="center" wrapText="1"/>
    </xf>
    <xf numFmtId="164" fontId="22" fillId="5" borderId="1" xfId="3" applyNumberFormat="1" applyFont="1" applyFill="1" applyBorder="1" applyAlignment="1">
      <alignment horizontal="center" vertical="center" wrapText="1"/>
    </xf>
    <xf numFmtId="0" fontId="22" fillId="3" borderId="1" xfId="0" applyFont="1" applyFill="1" applyBorder="1" applyAlignment="1">
      <alignment vertical="center" wrapText="1"/>
    </xf>
    <xf numFmtId="0" fontId="21" fillId="3" borderId="1" xfId="0" applyFont="1" applyFill="1" applyBorder="1" applyAlignment="1">
      <alignment vertical="center" wrapText="1"/>
    </xf>
    <xf numFmtId="164" fontId="22" fillId="3" borderId="1" xfId="3" applyNumberFormat="1" applyFont="1" applyFill="1" applyBorder="1" applyAlignment="1">
      <alignment horizontal="right" vertical="center" wrapText="1"/>
    </xf>
    <xf numFmtId="164" fontId="22" fillId="6" borderId="1" xfId="3" applyNumberFormat="1" applyFont="1" applyFill="1" applyBorder="1" applyAlignment="1">
      <alignment horizontal="right" vertical="center" wrapText="1"/>
    </xf>
    <xf numFmtId="0" fontId="21" fillId="2" borderId="2" xfId="0" applyFont="1" applyFill="1" applyBorder="1" applyAlignment="1">
      <alignment horizontal="left" vertical="center" wrapText="1"/>
    </xf>
    <xf numFmtId="165" fontId="21" fillId="2" borderId="1" xfId="0" applyNumberFormat="1" applyFont="1" applyFill="1" applyBorder="1" applyAlignment="1">
      <alignment horizontal="left" vertical="top" wrapText="1"/>
    </xf>
    <xf numFmtId="9" fontId="21" fillId="2" borderId="2" xfId="5" applyFont="1" applyFill="1" applyBorder="1" applyAlignment="1">
      <alignment horizontal="left" vertical="center" wrapText="1"/>
    </xf>
    <xf numFmtId="43" fontId="21" fillId="2" borderId="1" xfId="3" applyFont="1" applyFill="1" applyBorder="1" applyAlignment="1">
      <alignment horizontal="right" vertical="center" wrapText="1"/>
    </xf>
    <xf numFmtId="0" fontId="21" fillId="2" borderId="4" xfId="0" applyFont="1" applyFill="1" applyBorder="1" applyAlignment="1">
      <alignment horizontal="left" vertical="center" wrapText="1"/>
    </xf>
    <xf numFmtId="9" fontId="22" fillId="5" borderId="1" xfId="5" applyFont="1" applyFill="1" applyBorder="1" applyAlignment="1">
      <alignment horizontal="center" vertical="center" wrapText="1"/>
    </xf>
    <xf numFmtId="43" fontId="22" fillId="5" borderId="1" xfId="1" applyFont="1" applyFill="1" applyBorder="1" applyAlignment="1">
      <alignment horizontal="center" vertical="center" wrapText="1"/>
    </xf>
    <xf numFmtId="0" fontId="23" fillId="0" borderId="0" xfId="0" applyFont="1" applyAlignment="1">
      <alignment wrapText="1"/>
    </xf>
    <xf numFmtId="165" fontId="21" fillId="2" borderId="1" xfId="0" applyNumberFormat="1" applyFont="1" applyFill="1" applyBorder="1" applyAlignment="1">
      <alignment horizontal="center" vertical="center" wrapText="1"/>
    </xf>
    <xf numFmtId="165" fontId="21" fillId="2" borderId="1" xfId="0" applyNumberFormat="1" applyFont="1" applyFill="1" applyBorder="1" applyAlignment="1">
      <alignment horizontal="center" vertical="top" wrapText="1"/>
    </xf>
    <xf numFmtId="43" fontId="21" fillId="2" borderId="1" xfId="1" applyFont="1" applyFill="1" applyBorder="1" applyAlignment="1">
      <alignment horizontal="right" vertical="center" wrapText="1"/>
    </xf>
    <xf numFmtId="0" fontId="21" fillId="2" borderId="1" xfId="0" applyFont="1" applyFill="1" applyBorder="1" applyAlignment="1">
      <alignment horizontal="right" vertical="center" wrapText="1"/>
    </xf>
    <xf numFmtId="0" fontId="21" fillId="2" borderId="1" xfId="0" applyFont="1" applyFill="1" applyBorder="1" applyAlignment="1">
      <alignment horizontal="center" vertical="top" wrapText="1"/>
    </xf>
    <xf numFmtId="43" fontId="21" fillId="2" borderId="3" xfId="1" applyFont="1" applyFill="1" applyBorder="1" applyAlignment="1">
      <alignment horizontal="right" vertical="center" wrapText="1"/>
    </xf>
    <xf numFmtId="0" fontId="21" fillId="0" borderId="0" xfId="0" applyFont="1" applyBorder="1" applyAlignment="1">
      <alignment vertical="center" wrapText="1"/>
    </xf>
    <xf numFmtId="0" fontId="22" fillId="7" borderId="4" xfId="0" applyFont="1" applyFill="1" applyBorder="1" applyAlignment="1">
      <alignment horizontal="left" vertical="center" wrapText="1"/>
    </xf>
    <xf numFmtId="43" fontId="22" fillId="7" borderId="4" xfId="1" applyFont="1" applyFill="1" applyBorder="1" applyAlignment="1">
      <alignment horizontal="left" vertical="center" wrapText="1"/>
    </xf>
    <xf numFmtId="43" fontId="22" fillId="7" borderId="1" xfId="1" applyFont="1" applyFill="1" applyBorder="1" applyAlignment="1">
      <alignment horizontal="right" vertical="center" wrapText="1"/>
    </xf>
    <xf numFmtId="0" fontId="26"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21" fillId="0" borderId="0" xfId="0" applyFont="1" applyFill="1" applyBorder="1" applyAlignment="1">
      <alignment vertical="center" wrapText="1"/>
    </xf>
    <xf numFmtId="0" fontId="21" fillId="0" borderId="0" xfId="0" applyFont="1" applyFill="1" applyBorder="1" applyAlignment="1">
      <alignment horizontal="left" vertical="center" wrapText="1"/>
    </xf>
    <xf numFmtId="165" fontId="21" fillId="0" borderId="0" xfId="0" applyNumberFormat="1" applyFont="1" applyFill="1" applyBorder="1" applyAlignment="1">
      <alignment vertical="center" wrapText="1"/>
    </xf>
    <xf numFmtId="0" fontId="26" fillId="4" borderId="5" xfId="0" applyFont="1" applyFill="1" applyBorder="1" applyAlignment="1">
      <alignment vertical="center" wrapText="1"/>
    </xf>
    <xf numFmtId="0" fontId="21" fillId="4" borderId="3" xfId="0" applyFont="1" applyFill="1" applyBorder="1" applyAlignment="1">
      <alignment horizontal="center" vertical="center" wrapText="1"/>
    </xf>
    <xf numFmtId="0" fontId="21" fillId="4" borderId="3" xfId="0" applyFont="1" applyFill="1" applyBorder="1" applyAlignment="1">
      <alignment vertical="center" wrapText="1"/>
    </xf>
    <xf numFmtId="0" fontId="21" fillId="4" borderId="3" xfId="0" applyFont="1" applyFill="1" applyBorder="1" applyAlignment="1">
      <alignment horizontal="left" vertical="center" wrapText="1"/>
    </xf>
    <xf numFmtId="165" fontId="21" fillId="4" borderId="3" xfId="0" applyNumberFormat="1" applyFont="1" applyFill="1" applyBorder="1" applyAlignment="1">
      <alignment vertical="center" wrapText="1"/>
    </xf>
    <xf numFmtId="165" fontId="21" fillId="0" borderId="1" xfId="0" applyNumberFormat="1" applyFont="1" applyFill="1" applyBorder="1" applyAlignment="1">
      <alignment vertical="center" wrapText="1"/>
    </xf>
    <xf numFmtId="164" fontId="21" fillId="0" borderId="1" xfId="1" applyNumberFormat="1" applyFont="1" applyFill="1" applyBorder="1" applyAlignment="1">
      <alignment vertical="center" wrapText="1"/>
    </xf>
    <xf numFmtId="0" fontId="21" fillId="0" borderId="1" xfId="0" applyNumberFormat="1" applyFont="1" applyFill="1" applyBorder="1" applyAlignment="1">
      <alignment horizontal="left" vertical="center" wrapText="1"/>
    </xf>
    <xf numFmtId="164" fontId="21" fillId="0" borderId="1" xfId="3" applyNumberFormat="1" applyFont="1" applyFill="1" applyBorder="1" applyAlignment="1">
      <alignment horizontal="right" vertical="center" wrapText="1"/>
    </xf>
    <xf numFmtId="0" fontId="21" fillId="2" borderId="0" xfId="0" applyFont="1" applyFill="1" applyBorder="1" applyAlignment="1">
      <alignment horizontal="left" vertical="center" wrapText="1"/>
    </xf>
    <xf numFmtId="164" fontId="22" fillId="3" borderId="1" xfId="1" applyNumberFormat="1" applyFont="1" applyFill="1" applyBorder="1" applyAlignment="1">
      <alignment horizontal="center" vertical="center" wrapText="1"/>
    </xf>
    <xf numFmtId="0" fontId="23" fillId="0" borderId="1" xfId="0" applyFont="1" applyBorder="1" applyAlignment="1">
      <alignment horizontal="center" vertical="center" wrapText="1"/>
    </xf>
    <xf numFmtId="165" fontId="22" fillId="2" borderId="1" xfId="0" applyNumberFormat="1" applyFont="1" applyFill="1" applyBorder="1" applyAlignment="1">
      <alignment horizontal="center" vertical="center" wrapText="1"/>
    </xf>
    <xf numFmtId="0" fontId="21" fillId="2" borderId="0" xfId="0" applyFont="1" applyFill="1" applyBorder="1" applyAlignment="1">
      <alignment horizontal="left" vertical="center" wrapText="1"/>
    </xf>
    <xf numFmtId="0" fontId="21" fillId="0" borderId="1" xfId="0" applyFont="1" applyFill="1" applyBorder="1" applyAlignment="1">
      <alignment horizontal="center" vertical="top" wrapText="1"/>
    </xf>
    <xf numFmtId="3" fontId="21" fillId="0" borderId="1" xfId="0" applyNumberFormat="1" applyFont="1" applyFill="1" applyBorder="1" applyAlignment="1">
      <alignment horizontal="right" vertical="top"/>
    </xf>
    <xf numFmtId="0" fontId="21" fillId="0" borderId="1" xfId="0" applyFont="1" applyFill="1" applyBorder="1" applyAlignment="1">
      <alignment vertical="top"/>
    </xf>
    <xf numFmtId="0" fontId="21" fillId="0" borderId="1" xfId="0" quotePrefix="1" applyFont="1" applyFill="1" applyBorder="1" applyAlignment="1">
      <alignment horizontal="center" vertical="top" wrapText="1"/>
    </xf>
    <xf numFmtId="164" fontId="21" fillId="0" borderId="1" xfId="1" applyNumberFormat="1" applyFont="1" applyFill="1" applyBorder="1" applyAlignment="1">
      <alignment horizontal="right" vertical="top"/>
    </xf>
    <xf numFmtId="0" fontId="21" fillId="0" borderId="1" xfId="0" quotePrefix="1" applyFont="1" applyFill="1" applyBorder="1" applyAlignment="1">
      <alignment vertical="top"/>
    </xf>
    <xf numFmtId="0" fontId="21" fillId="0" borderId="1" xfId="0" applyFont="1" applyFill="1" applyBorder="1" applyAlignment="1">
      <alignment horizontal="left" vertical="top"/>
    </xf>
    <xf numFmtId="0" fontId="28" fillId="0" borderId="1" xfId="0" applyFont="1" applyFill="1" applyBorder="1" applyAlignment="1">
      <alignment vertical="top" wrapText="1"/>
    </xf>
    <xf numFmtId="164" fontId="21" fillId="0" borderId="1" xfId="1" applyNumberFormat="1" applyFont="1" applyFill="1" applyBorder="1" applyAlignment="1">
      <alignment horizontal="right" vertical="top" wrapText="1"/>
    </xf>
    <xf numFmtId="3" fontId="21" fillId="0" borderId="1" xfId="0" applyNumberFormat="1" applyFont="1" applyFill="1" applyBorder="1" applyAlignment="1">
      <alignment horizontal="right" vertical="top" wrapText="1"/>
    </xf>
    <xf numFmtId="3" fontId="21" fillId="0" borderId="1" xfId="3" applyNumberFormat="1" applyFont="1" applyFill="1" applyBorder="1" applyAlignment="1">
      <alignment horizontal="right" vertical="top"/>
    </xf>
    <xf numFmtId="0" fontId="21" fillId="0" borderId="1" xfId="0" applyFont="1" applyFill="1" applyBorder="1" applyAlignment="1">
      <alignment horizontal="right" vertical="top" wrapText="1"/>
    </xf>
    <xf numFmtId="3" fontId="22" fillId="3" borderId="1" xfId="0" applyNumberFormat="1" applyFont="1" applyFill="1" applyBorder="1" applyAlignment="1">
      <alignment horizontal="center" vertical="top"/>
    </xf>
    <xf numFmtId="43" fontId="21" fillId="2" borderId="1" xfId="3" applyFont="1" applyFill="1" applyBorder="1" applyAlignment="1">
      <alignment vertical="top" wrapText="1"/>
    </xf>
    <xf numFmtId="165" fontId="21" fillId="2" borderId="1" xfId="0" applyNumberFormat="1" applyFont="1" applyFill="1" applyBorder="1" applyAlignment="1">
      <alignment vertical="top" wrapText="1"/>
    </xf>
    <xf numFmtId="43" fontId="21" fillId="2" borderId="1" xfId="3" applyFont="1" applyFill="1" applyBorder="1" applyAlignment="1">
      <alignment horizontal="right" vertical="top" wrapText="1"/>
    </xf>
    <xf numFmtId="43" fontId="22" fillId="4" borderId="1" xfId="1" applyFont="1" applyFill="1" applyBorder="1" applyAlignment="1">
      <alignment horizontal="left" vertical="center" wrapText="1"/>
    </xf>
    <xf numFmtId="0" fontId="23" fillId="0" borderId="0" xfId="0" applyFont="1" applyFill="1"/>
    <xf numFmtId="0" fontId="22" fillId="0" borderId="1" xfId="0" applyFont="1" applyFill="1" applyBorder="1" applyAlignment="1">
      <alignment horizontal="left" vertical="center" wrapText="1"/>
    </xf>
    <xf numFmtId="0" fontId="23" fillId="0" borderId="1" xfId="0" applyFont="1" applyFill="1" applyBorder="1"/>
    <xf numFmtId="0" fontId="23" fillId="0" borderId="1" xfId="0" applyFont="1" applyFill="1" applyBorder="1" applyAlignment="1">
      <alignment horizontal="center" vertical="center"/>
    </xf>
    <xf numFmtId="0" fontId="23" fillId="0" borderId="1" xfId="0" applyFont="1" applyFill="1" applyBorder="1" applyAlignment="1">
      <alignment wrapText="1"/>
    </xf>
    <xf numFmtId="43" fontId="21" fillId="0" borderId="1" xfId="1" applyFont="1" applyFill="1" applyBorder="1" applyAlignment="1">
      <alignment horizontal="left" vertical="center" wrapText="1"/>
    </xf>
    <xf numFmtId="0" fontId="29" fillId="0" borderId="1" xfId="0" applyFont="1" applyFill="1" applyBorder="1" applyAlignment="1">
      <alignment horizontal="left" vertical="top" wrapText="1" readingOrder="1"/>
    </xf>
    <xf numFmtId="3" fontId="29" fillId="0" borderId="1" xfId="0" applyNumberFormat="1" applyFont="1" applyFill="1" applyBorder="1" applyAlignment="1">
      <alignment horizontal="right" vertical="top" wrapText="1" indent="1" readingOrder="1"/>
    </xf>
    <xf numFmtId="43" fontId="22" fillId="3" borderId="1" xfId="1" applyFont="1" applyFill="1" applyBorder="1" applyAlignment="1">
      <alignment horizontal="center" vertical="center" wrapText="1"/>
    </xf>
    <xf numFmtId="43" fontId="22" fillId="3" borderId="1" xfId="1" applyFont="1" applyFill="1" applyBorder="1" applyAlignment="1">
      <alignment horizontal="left" vertical="center" wrapText="1"/>
    </xf>
    <xf numFmtId="0" fontId="24" fillId="0" borderId="0" xfId="0" applyFont="1" applyFill="1" applyAlignment="1">
      <alignment horizontal="center"/>
    </xf>
    <xf numFmtId="9" fontId="22" fillId="2" borderId="1" xfId="5" applyFont="1" applyFill="1" applyBorder="1" applyAlignment="1">
      <alignment horizontal="center" vertical="center" wrapText="1"/>
    </xf>
    <xf numFmtId="0" fontId="26" fillId="0" borderId="1" xfId="0" applyFont="1" applyBorder="1" applyAlignment="1">
      <alignment horizontal="left" vertical="center" wrapText="1"/>
    </xf>
    <xf numFmtId="0" fontId="26" fillId="0" borderId="1" xfId="0" applyFont="1" applyBorder="1" applyAlignment="1">
      <alignment vertical="center" wrapText="1"/>
    </xf>
    <xf numFmtId="0" fontId="26" fillId="4" borderId="1" xfId="0" applyFont="1" applyFill="1" applyBorder="1" applyAlignment="1">
      <alignment vertical="center" wrapText="1"/>
    </xf>
    <xf numFmtId="0" fontId="25" fillId="0" borderId="1" xfId="0" applyFont="1" applyBorder="1" applyAlignment="1">
      <alignment vertical="center" wrapText="1"/>
    </xf>
    <xf numFmtId="0" fontId="26" fillId="0" borderId="1" xfId="0" applyFont="1" applyFill="1" applyBorder="1" applyAlignment="1">
      <alignment vertical="center" wrapText="1"/>
    </xf>
    <xf numFmtId="0" fontId="25" fillId="0" borderId="1" xfId="0" applyFont="1" applyFill="1" applyBorder="1" applyAlignment="1">
      <alignment vertical="center" wrapText="1"/>
    </xf>
    <xf numFmtId="43" fontId="21" fillId="2" borderId="1" xfId="1" applyFont="1" applyFill="1" applyBorder="1" applyAlignment="1">
      <alignment horizontal="left" vertical="center" wrapText="1"/>
    </xf>
    <xf numFmtId="0" fontId="22" fillId="7" borderId="1" xfId="0" applyFont="1" applyFill="1" applyBorder="1" applyAlignment="1">
      <alignment horizontal="left" vertical="center" wrapText="1"/>
    </xf>
    <xf numFmtId="43" fontId="22" fillId="7" borderId="1" xfId="1" applyFont="1" applyFill="1" applyBorder="1" applyAlignment="1">
      <alignment horizontal="left" vertical="center" wrapText="1"/>
    </xf>
    <xf numFmtId="9" fontId="21" fillId="2" borderId="1" xfId="5" applyFont="1" applyFill="1" applyBorder="1" applyAlignment="1">
      <alignment horizontal="left" vertical="center" wrapText="1"/>
    </xf>
    <xf numFmtId="0" fontId="30" fillId="0" borderId="0" xfId="0" applyFont="1"/>
    <xf numFmtId="0" fontId="30" fillId="9" borderId="0" xfId="0" applyFont="1" applyFill="1"/>
    <xf numFmtId="0" fontId="20" fillId="0" borderId="0" xfId="0" applyFont="1"/>
    <xf numFmtId="0" fontId="30" fillId="9" borderId="0" xfId="0" applyFont="1" applyFill="1" applyAlignment="1">
      <alignment horizontal="center" vertical="center"/>
    </xf>
    <xf numFmtId="0" fontId="31" fillId="8" borderId="0" xfId="0" applyFont="1" applyFill="1" applyAlignment="1">
      <alignment horizontal="center" vertical="center" wrapText="1"/>
    </xf>
    <xf numFmtId="0" fontId="0" fillId="0" borderId="0" xfId="0" applyAlignment="1">
      <alignment vertical="top"/>
    </xf>
    <xf numFmtId="0" fontId="33" fillId="10" borderId="0" xfId="0" applyFont="1" applyFill="1" applyAlignment="1">
      <alignment horizontal="center" vertical="top" wrapText="1"/>
    </xf>
    <xf numFmtId="0" fontId="0" fillId="0" borderId="0" xfId="0" applyAlignment="1">
      <alignment vertical="top" wrapText="1"/>
    </xf>
    <xf numFmtId="0" fontId="32" fillId="10" borderId="0" xfId="0" applyFont="1" applyFill="1" applyAlignment="1">
      <alignment vertical="top" wrapText="1"/>
    </xf>
    <xf numFmtId="0" fontId="32" fillId="10" borderId="0" xfId="0" applyFont="1" applyFill="1" applyAlignment="1">
      <alignment horizontal="center" vertical="top" wrapText="1"/>
    </xf>
    <xf numFmtId="3" fontId="32" fillId="10" borderId="0" xfId="0" applyNumberFormat="1" applyFont="1" applyFill="1" applyAlignment="1">
      <alignment horizontal="right" vertical="top" wrapText="1"/>
    </xf>
    <xf numFmtId="0" fontId="32" fillId="0" borderId="0" xfId="0" applyFont="1" applyAlignment="1">
      <alignment vertical="top" wrapText="1"/>
    </xf>
    <xf numFmtId="0" fontId="33" fillId="0" borderId="0" xfId="0" applyFont="1" applyAlignment="1">
      <alignment horizontal="center" vertical="top" wrapText="1"/>
    </xf>
    <xf numFmtId="0" fontId="32" fillId="0" borderId="0" xfId="0" applyFont="1" applyAlignment="1">
      <alignment horizontal="right" vertical="top" wrapText="1"/>
    </xf>
    <xf numFmtId="0" fontId="32" fillId="0" borderId="0" xfId="0" applyFont="1" applyFill="1" applyAlignment="1">
      <alignment vertical="top" wrapText="1"/>
    </xf>
    <xf numFmtId="0" fontId="32" fillId="0" borderId="0" xfId="0" applyFont="1" applyFill="1" applyAlignment="1">
      <alignment horizontal="center" vertical="top" wrapText="1"/>
    </xf>
    <xf numFmtId="3" fontId="32" fillId="0" borderId="0" xfId="0" applyNumberFormat="1" applyFont="1" applyFill="1" applyAlignment="1">
      <alignment horizontal="right" vertical="top" wrapText="1"/>
    </xf>
    <xf numFmtId="0" fontId="32" fillId="11" borderId="0" xfId="0" applyFont="1" applyFill="1" applyAlignment="1">
      <alignment vertical="top" wrapText="1"/>
    </xf>
    <xf numFmtId="0" fontId="0" fillId="11" borderId="0" xfId="0" applyFill="1" applyAlignment="1">
      <alignment vertical="top" wrapText="1"/>
    </xf>
    <xf numFmtId="0" fontId="32" fillId="11" borderId="0" xfId="0" applyFont="1" applyFill="1" applyAlignment="1">
      <alignment horizontal="center" vertical="top" wrapText="1"/>
    </xf>
    <xf numFmtId="3" fontId="32" fillId="11" borderId="0" xfId="0" applyNumberFormat="1" applyFont="1" applyFill="1" applyAlignment="1">
      <alignment horizontal="right" vertical="top" wrapText="1"/>
    </xf>
    <xf numFmtId="0" fontId="33" fillId="11" borderId="0" xfId="0" applyFont="1" applyFill="1" applyAlignment="1">
      <alignment vertical="top" wrapText="1"/>
    </xf>
    <xf numFmtId="3" fontId="33" fillId="11" borderId="0" xfId="0" applyNumberFormat="1" applyFont="1" applyFill="1" applyAlignment="1">
      <alignment horizontal="right" vertical="top" wrapText="1"/>
    </xf>
    <xf numFmtId="0" fontId="33" fillId="0" borderId="0" xfId="0" applyFont="1" applyFill="1" applyAlignment="1">
      <alignment horizontal="center" vertical="top" wrapText="1"/>
    </xf>
    <xf numFmtId="0" fontId="33" fillId="11" borderId="0" xfId="0" applyFont="1" applyFill="1" applyAlignment="1">
      <alignment horizontal="center" vertical="top" wrapText="1"/>
    </xf>
    <xf numFmtId="0" fontId="33" fillId="0" borderId="0" xfId="0" applyFont="1" applyFill="1" applyAlignment="1">
      <alignment vertical="top" wrapText="1"/>
    </xf>
    <xf numFmtId="3" fontId="33" fillId="0" borderId="0" xfId="0" applyNumberFormat="1" applyFont="1" applyFill="1" applyAlignment="1">
      <alignment horizontal="right" vertical="top" wrapText="1"/>
    </xf>
    <xf numFmtId="167" fontId="0" fillId="0" borderId="0" xfId="0" applyNumberFormat="1" applyAlignment="1">
      <alignment vertical="top"/>
    </xf>
    <xf numFmtId="0" fontId="31" fillId="12" borderId="22" xfId="0" applyFont="1" applyFill="1" applyBorder="1" applyAlignment="1">
      <alignment horizontal="center" vertical="top" wrapText="1"/>
    </xf>
    <xf numFmtId="0" fontId="35" fillId="12" borderId="23" xfId="0" applyFont="1" applyFill="1" applyBorder="1" applyAlignment="1">
      <alignment horizontal="center" vertical="top" wrapText="1"/>
    </xf>
    <xf numFmtId="0" fontId="31" fillId="12" borderId="24" xfId="0" applyFont="1" applyFill="1" applyBorder="1" applyAlignment="1">
      <alignment horizontal="center" vertical="top" wrapText="1"/>
    </xf>
    <xf numFmtId="0" fontId="35" fillId="12" borderId="25" xfId="0" applyFont="1" applyFill="1" applyBorder="1" applyAlignment="1">
      <alignment horizontal="center" vertical="top" wrapText="1"/>
    </xf>
    <xf numFmtId="0" fontId="30" fillId="13" borderId="23" xfId="0" applyFont="1" applyFill="1" applyBorder="1" applyAlignment="1">
      <alignment horizontal="left" vertical="top" wrapText="1" indent="1"/>
    </xf>
    <xf numFmtId="0" fontId="36" fillId="13" borderId="26" xfId="0" applyFont="1" applyFill="1" applyBorder="1" applyAlignment="1">
      <alignment horizontal="center" vertical="top" wrapText="1"/>
    </xf>
    <xf numFmtId="0" fontId="30" fillId="0" borderId="23" xfId="0" applyFont="1" applyBorder="1" applyAlignment="1">
      <alignment horizontal="left" vertical="top" wrapText="1" indent="1"/>
    </xf>
    <xf numFmtId="0" fontId="30" fillId="0" borderId="25" xfId="0" applyFont="1" applyBorder="1" applyAlignment="1">
      <alignment horizontal="center" vertical="top" wrapText="1"/>
    </xf>
    <xf numFmtId="0" fontId="36" fillId="0" borderId="26" xfId="0" applyFont="1" applyBorder="1" applyAlignment="1">
      <alignment horizontal="center" vertical="top" wrapText="1"/>
    </xf>
    <xf numFmtId="0" fontId="30" fillId="13" borderId="25" xfId="0" applyFont="1" applyFill="1" applyBorder="1" applyAlignment="1">
      <alignment horizontal="center" vertical="top" wrapText="1"/>
    </xf>
    <xf numFmtId="0" fontId="30" fillId="0" borderId="27" xfId="0" applyFont="1" applyBorder="1" applyAlignment="1">
      <alignment horizontal="left" vertical="top" wrapText="1" indent="1"/>
    </xf>
    <xf numFmtId="0" fontId="36" fillId="0" borderId="28" xfId="0" applyFont="1" applyBorder="1" applyAlignment="1">
      <alignment horizontal="left" vertical="top" wrapText="1" indent="1"/>
    </xf>
    <xf numFmtId="0" fontId="36" fillId="13" borderId="23" xfId="0" applyFont="1" applyFill="1" applyBorder="1" applyAlignment="1">
      <alignment horizontal="left" vertical="top" wrapText="1" indent="1"/>
    </xf>
    <xf numFmtId="0" fontId="37" fillId="0" borderId="0" xfId="0" applyFont="1" applyAlignment="1">
      <alignment horizontal="justify"/>
    </xf>
    <xf numFmtId="0" fontId="30" fillId="13" borderId="22" xfId="0" applyFont="1" applyFill="1" applyBorder="1" applyAlignment="1">
      <alignment horizontal="left" vertical="top" wrapText="1" indent="1"/>
    </xf>
    <xf numFmtId="0" fontId="30" fillId="13" borderId="24" xfId="0" applyFont="1" applyFill="1" applyBorder="1" applyAlignment="1">
      <alignment horizontal="center" vertical="top" wrapText="1"/>
    </xf>
    <xf numFmtId="0" fontId="36" fillId="13" borderId="29" xfId="0" applyFont="1" applyFill="1" applyBorder="1" applyAlignment="1">
      <alignment horizontal="center" vertical="top" wrapText="1"/>
    </xf>
    <xf numFmtId="0" fontId="30" fillId="0" borderId="22" xfId="0" applyFont="1" applyBorder="1" applyAlignment="1">
      <alignment horizontal="left" vertical="top" wrapText="1" indent="1"/>
    </xf>
    <xf numFmtId="0" fontId="30" fillId="0" borderId="24" xfId="0" applyFont="1" applyBorder="1" applyAlignment="1">
      <alignment horizontal="center" vertical="top" wrapText="1"/>
    </xf>
    <xf numFmtId="0" fontId="36" fillId="0" borderId="29" xfId="0" applyFont="1" applyBorder="1" applyAlignment="1">
      <alignment horizontal="center" vertical="top" wrapText="1"/>
    </xf>
    <xf numFmtId="0" fontId="36" fillId="0" borderId="29" xfId="0" applyFont="1" applyBorder="1" applyAlignment="1">
      <alignment horizontal="left" vertical="top" wrapText="1" indent="1"/>
    </xf>
    <xf numFmtId="0" fontId="30" fillId="0" borderId="0" xfId="0" applyFont="1" applyBorder="1" applyAlignment="1">
      <alignment horizontal="center" vertical="top" wrapText="1"/>
    </xf>
    <xf numFmtId="164" fontId="35" fillId="12" borderId="24" xfId="1" applyNumberFormat="1" applyFont="1" applyFill="1" applyBorder="1" applyAlignment="1">
      <alignment horizontal="center" vertical="top" wrapText="1"/>
    </xf>
    <xf numFmtId="164" fontId="35" fillId="12" borderId="25" xfId="1" applyNumberFormat="1" applyFont="1" applyFill="1" applyBorder="1" applyAlignment="1">
      <alignment horizontal="center" vertical="top" wrapText="1"/>
    </xf>
    <xf numFmtId="164" fontId="30" fillId="0" borderId="25" xfId="1" applyNumberFormat="1" applyFont="1" applyBorder="1" applyAlignment="1">
      <alignment horizontal="right" vertical="top" wrapText="1"/>
    </xf>
    <xf numFmtId="164" fontId="30" fillId="13" borderId="25" xfId="1" applyNumberFormat="1" applyFont="1" applyFill="1" applyBorder="1" applyAlignment="1">
      <alignment horizontal="right" vertical="top" wrapText="1"/>
    </xf>
    <xf numFmtId="164" fontId="30" fillId="0" borderId="24" xfId="1" applyNumberFormat="1" applyFont="1" applyBorder="1" applyAlignment="1">
      <alignment horizontal="right" vertical="top" wrapText="1"/>
    </xf>
    <xf numFmtId="164" fontId="30" fillId="0" borderId="0" xfId="1" applyNumberFormat="1" applyFont="1" applyBorder="1" applyAlignment="1">
      <alignment horizontal="right" vertical="top" wrapText="1"/>
    </xf>
    <xf numFmtId="164" fontId="36" fillId="13" borderId="25" xfId="1" applyNumberFormat="1" applyFont="1" applyFill="1" applyBorder="1" applyAlignment="1">
      <alignment horizontal="right" vertical="top" wrapText="1"/>
    </xf>
    <xf numFmtId="164" fontId="34" fillId="0" borderId="0" xfId="1" applyNumberFormat="1" applyFont="1"/>
    <xf numFmtId="164" fontId="34" fillId="13" borderId="24" xfId="1" applyNumberFormat="1" applyFont="1" applyFill="1" applyBorder="1" applyAlignment="1">
      <alignment horizontal="right" vertical="top" wrapText="1"/>
    </xf>
    <xf numFmtId="43" fontId="21" fillId="2" borderId="1" xfId="3" applyFont="1" applyFill="1" applyBorder="1" applyAlignment="1">
      <alignment horizontal="center" vertical="center" wrapText="1"/>
    </xf>
    <xf numFmtId="43" fontId="21" fillId="2" borderId="1" xfId="3" applyFont="1" applyFill="1" applyBorder="1" applyAlignment="1">
      <alignment vertical="center" wrapText="1"/>
    </xf>
    <xf numFmtId="0" fontId="22" fillId="14" borderId="4" xfId="0" applyFont="1" applyFill="1" applyBorder="1" applyAlignment="1">
      <alignment horizontal="left" vertical="center" wrapText="1"/>
    </xf>
    <xf numFmtId="43" fontId="22" fillId="14" borderId="4" xfId="1" applyFont="1" applyFill="1" applyBorder="1" applyAlignment="1">
      <alignment horizontal="left" vertical="center" wrapText="1"/>
    </xf>
    <xf numFmtId="43" fontId="22" fillId="14" borderId="1" xfId="3" applyFont="1" applyFill="1" applyBorder="1" applyAlignment="1">
      <alignment vertical="top" wrapText="1"/>
    </xf>
    <xf numFmtId="0" fontId="36" fillId="9" borderId="0" xfId="0" applyFont="1" applyFill="1" applyAlignment="1">
      <alignment horizontal="center"/>
    </xf>
    <xf numFmtId="0" fontId="38" fillId="0" borderId="0" xfId="0" applyFont="1" applyBorder="1" applyAlignment="1">
      <alignment horizontal="left" wrapText="1"/>
    </xf>
    <xf numFmtId="0" fontId="38" fillId="7" borderId="0" xfId="0" applyFont="1" applyFill="1" applyBorder="1" applyAlignment="1">
      <alignment horizontal="left" wrapText="1"/>
    </xf>
    <xf numFmtId="0" fontId="38" fillId="0" borderId="0" xfId="0" applyFont="1" applyFill="1" applyBorder="1" applyAlignment="1">
      <alignment horizontal="left" wrapText="1"/>
    </xf>
    <xf numFmtId="0" fontId="38" fillId="0" borderId="0" xfId="0" applyFont="1" applyFill="1" applyBorder="1" applyAlignment="1">
      <alignment horizontal="left"/>
    </xf>
    <xf numFmtId="0" fontId="36" fillId="7" borderId="0" xfId="0" applyFont="1" applyFill="1" applyBorder="1" applyAlignment="1">
      <alignment horizontal="center" vertical="center"/>
    </xf>
    <xf numFmtId="0" fontId="36" fillId="7" borderId="0" xfId="0" applyFont="1" applyFill="1" applyBorder="1" applyAlignment="1">
      <alignment horizontal="center" vertical="center" wrapText="1"/>
    </xf>
    <xf numFmtId="0" fontId="36" fillId="0" borderId="0" xfId="0" applyFont="1" applyBorder="1"/>
    <xf numFmtId="0" fontId="36" fillId="0" borderId="0" xfId="0" applyFont="1" applyBorder="1" applyAlignment="1">
      <alignment horizontal="center"/>
    </xf>
    <xf numFmtId="0" fontId="30" fillId="0" borderId="0" xfId="0" applyFont="1" applyBorder="1"/>
    <xf numFmtId="0" fontId="36" fillId="7" borderId="0" xfId="0" applyFont="1" applyFill="1" applyBorder="1"/>
    <xf numFmtId="0" fontId="30" fillId="7" borderId="0" xfId="0" applyFont="1" applyFill="1" applyBorder="1"/>
    <xf numFmtId="0" fontId="30" fillId="0" borderId="0" xfId="0" applyFont="1" applyBorder="1" applyAlignment="1">
      <alignment wrapText="1"/>
    </xf>
    <xf numFmtId="3" fontId="30" fillId="0" borderId="0" xfId="0" applyNumberFormat="1" applyFont="1" applyBorder="1"/>
    <xf numFmtId="3" fontId="30" fillId="7" borderId="0" xfId="0" applyNumberFormat="1" applyFont="1" applyFill="1" applyBorder="1"/>
    <xf numFmtId="0" fontId="30" fillId="7" borderId="0" xfId="0" applyFont="1" applyFill="1" applyBorder="1" applyAlignment="1">
      <alignment wrapText="1"/>
    </xf>
    <xf numFmtId="3" fontId="36" fillId="7" borderId="0" xfId="0" applyNumberFormat="1" applyFont="1" applyFill="1" applyBorder="1"/>
    <xf numFmtId="0" fontId="30" fillId="15" borderId="0" xfId="0" applyFont="1" applyFill="1" applyAlignment="1">
      <alignment horizontal="left" vertical="top" wrapText="1" indent="1"/>
    </xf>
    <xf numFmtId="0" fontId="30" fillId="15" borderId="0" xfId="0" applyFont="1" applyFill="1" applyAlignment="1">
      <alignment horizontal="center" vertical="top" wrapText="1"/>
    </xf>
    <xf numFmtId="3" fontId="0" fillId="0" borderId="0" xfId="0" applyNumberFormat="1"/>
    <xf numFmtId="3" fontId="30" fillId="15" borderId="0" xfId="0" applyNumberFormat="1" applyFont="1" applyFill="1" applyAlignment="1">
      <alignment horizontal="right" vertical="top" wrapText="1"/>
    </xf>
    <xf numFmtId="0" fontId="30" fillId="0" borderId="0" xfId="0" applyFont="1" applyAlignment="1">
      <alignment horizontal="left" vertical="top" wrapText="1" indent="1"/>
    </xf>
    <xf numFmtId="0" fontId="30" fillId="0" borderId="0" xfId="0" applyFont="1" applyAlignment="1">
      <alignment horizontal="center" vertical="top" wrapText="1"/>
    </xf>
    <xf numFmtId="3" fontId="30" fillId="0" borderId="0" xfId="0" applyNumberFormat="1" applyFont="1" applyAlignment="1">
      <alignment horizontal="right" vertical="top" wrapText="1"/>
    </xf>
    <xf numFmtId="0" fontId="31" fillId="0" borderId="0" xfId="0" applyFont="1" applyFill="1" applyAlignment="1">
      <alignment horizontal="center" vertical="center" wrapText="1"/>
    </xf>
    <xf numFmtId="0" fontId="36" fillId="0" borderId="0" xfId="0" applyFont="1"/>
    <xf numFmtId="0" fontId="36" fillId="0" borderId="0" xfId="0" applyFont="1" applyAlignment="1">
      <alignment horizontal="center" vertical="top" wrapText="1"/>
    </xf>
    <xf numFmtId="3" fontId="32" fillId="0" borderId="1" xfId="0" applyNumberFormat="1" applyFont="1" applyFill="1" applyBorder="1" applyAlignment="1">
      <alignment horizontal="right" vertical="top" wrapText="1" indent="1" readingOrder="1"/>
    </xf>
    <xf numFmtId="3" fontId="36" fillId="0" borderId="0" xfId="0" applyNumberFormat="1" applyFont="1"/>
    <xf numFmtId="164" fontId="39" fillId="2" borderId="1" xfId="3" applyNumberFormat="1" applyFont="1" applyFill="1" applyBorder="1" applyAlignment="1">
      <alignment vertical="center"/>
    </xf>
    <xf numFmtId="43" fontId="39" fillId="2" borderId="1" xfId="3" applyNumberFormat="1" applyFont="1" applyFill="1" applyBorder="1" applyAlignment="1">
      <alignment vertical="center"/>
    </xf>
    <xf numFmtId="43" fontId="21" fillId="2" borderId="1" xfId="1" applyNumberFormat="1" applyFont="1" applyFill="1" applyBorder="1" applyAlignment="1">
      <alignment horizontal="left" vertical="center" wrapText="1"/>
    </xf>
    <xf numFmtId="43" fontId="39" fillId="2" borderId="1" xfId="3" applyNumberFormat="1" applyFont="1" applyFill="1" applyBorder="1" applyAlignment="1">
      <alignment horizontal="right" vertical="center"/>
    </xf>
    <xf numFmtId="164" fontId="39" fillId="2" borderId="1" xfId="3" applyNumberFormat="1" applyFont="1" applyFill="1" applyBorder="1" applyAlignment="1">
      <alignment horizontal="left" vertical="center"/>
    </xf>
    <xf numFmtId="164" fontId="40" fillId="16" borderId="4" xfId="3" applyNumberFormat="1" applyFont="1" applyFill="1" applyBorder="1" applyAlignment="1">
      <alignment horizontal="center" vertical="center" wrapText="1"/>
    </xf>
    <xf numFmtId="164" fontId="40" fillId="16" borderId="1" xfId="3" applyNumberFormat="1" applyFont="1" applyFill="1" applyBorder="1" applyAlignment="1">
      <alignment horizontal="center" vertical="center" wrapText="1"/>
    </xf>
    <xf numFmtId="164" fontId="40" fillId="16" borderId="9" xfId="3" applyNumberFormat="1" applyFont="1" applyFill="1" applyBorder="1" applyAlignment="1">
      <alignment horizontal="center" vertical="center" wrapText="1"/>
    </xf>
    <xf numFmtId="0" fontId="40" fillId="16" borderId="4" xfId="0" applyFont="1" applyFill="1" applyBorder="1" applyAlignment="1">
      <alignment horizontal="center" vertical="center" wrapText="1"/>
    </xf>
    <xf numFmtId="0" fontId="40" fillId="16" borderId="1" xfId="0" applyFont="1" applyFill="1" applyBorder="1" applyAlignment="1">
      <alignment horizontal="center" vertical="center" wrapText="1"/>
    </xf>
    <xf numFmtId="164" fontId="40" fillId="16" borderId="9" xfId="3" applyNumberFormat="1" applyFont="1" applyFill="1" applyBorder="1" applyAlignment="1">
      <alignment horizontal="center" vertical="center"/>
    </xf>
    <xf numFmtId="164" fontId="39" fillId="2" borderId="4" xfId="3" applyNumberFormat="1" applyFont="1" applyFill="1" applyBorder="1" applyAlignment="1">
      <alignment horizontal="right" vertical="center"/>
    </xf>
    <xf numFmtId="164" fontId="39" fillId="2" borderId="9" xfId="3" applyNumberFormat="1" applyFont="1" applyFill="1" applyBorder="1" applyAlignment="1">
      <alignment vertical="center"/>
    </xf>
    <xf numFmtId="164" fontId="40" fillId="2" borderId="4" xfId="3" applyNumberFormat="1" applyFont="1" applyFill="1" applyBorder="1" applyAlignment="1">
      <alignment vertical="center"/>
    </xf>
    <xf numFmtId="164" fontId="39" fillId="2" borderId="9" xfId="3" applyNumberFormat="1" applyFont="1" applyFill="1" applyBorder="1" applyAlignment="1">
      <alignment horizontal="left" vertical="center"/>
    </xf>
    <xf numFmtId="164" fontId="40" fillId="2" borderId="1" xfId="3" applyNumberFormat="1" applyFont="1" applyFill="1" applyBorder="1" applyAlignment="1">
      <alignment vertical="center"/>
    </xf>
    <xf numFmtId="164" fontId="40" fillId="2" borderId="9" xfId="3" applyNumberFormat="1" applyFont="1" applyFill="1" applyBorder="1" applyAlignment="1">
      <alignment vertical="center"/>
    </xf>
    <xf numFmtId="43" fontId="21" fillId="2" borderId="1" xfId="3" applyFont="1" applyFill="1" applyBorder="1" applyAlignment="1">
      <alignment horizontal="left" vertical="center" wrapText="1"/>
    </xf>
    <xf numFmtId="43" fontId="18" fillId="0" borderId="0" xfId="1" applyFont="1"/>
    <xf numFmtId="2" fontId="0" fillId="0" borderId="0" xfId="0" applyNumberFormat="1" applyAlignment="1">
      <alignment vertical="top"/>
    </xf>
    <xf numFmtId="164" fontId="41" fillId="2" borderId="1" xfId="3" applyNumberFormat="1" applyFont="1" applyFill="1" applyBorder="1" applyAlignment="1">
      <alignment vertical="center"/>
    </xf>
    <xf numFmtId="43" fontId="41" fillId="2" borderId="1" xfId="3" applyNumberFormat="1" applyFont="1" applyFill="1" applyBorder="1" applyAlignment="1">
      <alignment horizontal="right" vertical="center"/>
    </xf>
    <xf numFmtId="0" fontId="33" fillId="0" borderId="0" xfId="0" applyFont="1" applyAlignment="1">
      <alignment vertical="top" wrapText="1"/>
    </xf>
    <xf numFmtId="0" fontId="42" fillId="0" borderId="0" xfId="0" applyFont="1"/>
    <xf numFmtId="0" fontId="43" fillId="0" borderId="0" xfId="0" applyFont="1" applyFill="1" applyBorder="1" applyAlignment="1">
      <alignment horizontal="left"/>
    </xf>
    <xf numFmtId="0" fontId="43" fillId="0" borderId="0" xfId="0" applyFont="1"/>
    <xf numFmtId="0" fontId="14" fillId="0" borderId="0" xfId="0" applyFont="1" applyAlignment="1">
      <alignment horizontal="center" vertical="center"/>
    </xf>
    <xf numFmtId="0" fontId="8" fillId="2" borderId="1" xfId="0" applyFont="1" applyFill="1" applyBorder="1" applyAlignment="1">
      <alignment horizontal="left" vertical="center" wrapText="1"/>
    </xf>
    <xf numFmtId="0" fontId="44"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23" fillId="0" borderId="6" xfId="0" applyFont="1" applyBorder="1" applyAlignment="1">
      <alignment wrapText="1"/>
    </xf>
    <xf numFmtId="0" fontId="23" fillId="0" borderId="10" xfId="0" applyFont="1" applyBorder="1" applyAlignment="1">
      <alignment wrapText="1"/>
    </xf>
    <xf numFmtId="0" fontId="0" fillId="0" borderId="0" xfId="0" applyFont="1" applyAlignment="1">
      <alignment vertical="top" wrapText="1"/>
    </xf>
    <xf numFmtId="0" fontId="32" fillId="0" borderId="0" xfId="0" applyFont="1" applyAlignment="1">
      <alignment horizontal="center" vertical="top" wrapText="1"/>
    </xf>
    <xf numFmtId="1" fontId="0" fillId="0" borderId="0" xfId="0" applyNumberFormat="1" applyFont="1" applyAlignment="1">
      <alignment vertical="top" wrapText="1"/>
    </xf>
    <xf numFmtId="1" fontId="33" fillId="10" borderId="0" xfId="0" applyNumberFormat="1" applyFont="1" applyFill="1" applyAlignment="1">
      <alignment vertical="top" wrapText="1"/>
    </xf>
    <xf numFmtId="0" fontId="0" fillId="0" borderId="0" xfId="0" applyAlignment="1">
      <alignment horizontal="center" vertical="top" wrapText="1"/>
    </xf>
    <xf numFmtId="3" fontId="32" fillId="10" borderId="0" xfId="0" applyNumberFormat="1" applyFont="1" applyFill="1" applyAlignment="1">
      <alignment horizontal="center" vertical="top" wrapText="1"/>
    </xf>
    <xf numFmtId="0" fontId="32" fillId="0" borderId="0" xfId="0" applyFont="1" applyAlignment="1">
      <alignment horizontal="center"/>
    </xf>
    <xf numFmtId="1" fontId="32" fillId="0" borderId="0" xfId="0" applyNumberFormat="1" applyFont="1" applyAlignment="1">
      <alignment horizontal="center" vertical="top" wrapText="1"/>
    </xf>
    <xf numFmtId="3" fontId="33" fillId="10" borderId="0" xfId="0" applyNumberFormat="1" applyFont="1" applyFill="1" applyAlignment="1">
      <alignment horizontal="center" vertical="top" wrapText="1"/>
    </xf>
    <xf numFmtId="0" fontId="0" fillId="0" borderId="0" xfId="0" applyAlignment="1">
      <alignment horizontal="center" vertical="top"/>
    </xf>
    <xf numFmtId="0" fontId="21" fillId="3" borderId="1" xfId="0" applyNumberFormat="1" applyFont="1" applyFill="1" applyBorder="1" applyAlignment="1">
      <alignment horizontal="left" vertical="center" wrapText="1"/>
    </xf>
    <xf numFmtId="164" fontId="21" fillId="3" borderId="1" xfId="3" applyNumberFormat="1" applyFont="1" applyFill="1" applyBorder="1" applyAlignment="1">
      <alignment horizontal="right" vertical="center" wrapText="1"/>
    </xf>
    <xf numFmtId="0" fontId="21" fillId="3" borderId="0" xfId="0" applyFont="1" applyFill="1" applyBorder="1" applyAlignment="1">
      <alignment vertical="center" wrapText="1"/>
    </xf>
    <xf numFmtId="164" fontId="18" fillId="0" borderId="0" xfId="1" applyNumberFormat="1" applyFont="1"/>
    <xf numFmtId="0" fontId="0" fillId="0" borderId="1" xfId="0" applyBorder="1" applyAlignment="1">
      <alignment horizontal="center"/>
    </xf>
    <xf numFmtId="0" fontId="0" fillId="0" borderId="1" xfId="0" applyBorder="1"/>
    <xf numFmtId="0" fontId="0" fillId="0" borderId="1" xfId="0" applyBorder="1" applyAlignment="1">
      <alignment horizontal="center" wrapText="1"/>
    </xf>
    <xf numFmtId="0" fontId="0" fillId="0" borderId="1" xfId="0" applyBorder="1" applyAlignment="1">
      <alignment wrapText="1"/>
    </xf>
    <xf numFmtId="0" fontId="0" fillId="0" borderId="0" xfId="0" applyBorder="1"/>
    <xf numFmtId="164" fontId="18" fillId="0" borderId="1" xfId="1" applyNumberFormat="1" applyFont="1" applyBorder="1"/>
    <xf numFmtId="164" fontId="18" fillId="0" borderId="11" xfId="1" applyNumberFormat="1" applyFont="1" applyFill="1" applyBorder="1"/>
    <xf numFmtId="164" fontId="18" fillId="0" borderId="1" xfId="1" applyNumberFormat="1" applyFont="1" applyFill="1" applyBorder="1"/>
    <xf numFmtId="43" fontId="0" fillId="0" borderId="0" xfId="0" applyNumberFormat="1"/>
    <xf numFmtId="0" fontId="33" fillId="0" borderId="0" xfId="0" applyFont="1" applyAlignment="1">
      <alignment vertical="top" wrapText="1"/>
    </xf>
    <xf numFmtId="3" fontId="0" fillId="5" borderId="0" xfId="0" applyNumberFormat="1" applyFill="1"/>
    <xf numFmtId="164" fontId="0" fillId="0" borderId="0" xfId="0" applyNumberFormat="1"/>
    <xf numFmtId="0" fontId="19" fillId="14" borderId="0" xfId="0" applyFont="1" applyFill="1" applyAlignment="1">
      <alignment horizontal="center" vertical="center" wrapText="1"/>
    </xf>
    <xf numFmtId="0" fontId="19" fillId="14" borderId="0" xfId="0" applyFont="1" applyFill="1" applyAlignment="1">
      <alignment horizontal="center" vertical="center"/>
    </xf>
    <xf numFmtId="4" fontId="30" fillId="0" borderId="0" xfId="0" applyNumberFormat="1" applyFont="1" applyAlignment="1">
      <alignment horizontal="center" vertical="center"/>
    </xf>
    <xf numFmtId="4" fontId="30" fillId="0" borderId="0" xfId="0" applyNumberFormat="1" applyFont="1"/>
    <xf numFmtId="4" fontId="30" fillId="9" borderId="0" xfId="0" applyNumberFormat="1" applyFont="1" applyFill="1" applyAlignment="1">
      <alignment horizontal="center" vertical="center"/>
    </xf>
    <xf numFmtId="4" fontId="30" fillId="9" borderId="0" xfId="0" applyNumberFormat="1" applyFont="1" applyFill="1" applyAlignment="1">
      <alignment horizontal="right" vertical="center"/>
    </xf>
    <xf numFmtId="4" fontId="36" fillId="9" borderId="0" xfId="1" applyNumberFormat="1" applyFont="1" applyFill="1" applyAlignment="1">
      <alignment horizontal="center"/>
    </xf>
    <xf numFmtId="4" fontId="36" fillId="9" borderId="0" xfId="1" applyNumberFormat="1" applyFont="1" applyFill="1" applyAlignment="1">
      <alignment horizontal="right"/>
    </xf>
    <xf numFmtId="4" fontId="36" fillId="9" borderId="0" xfId="0" applyNumberFormat="1" applyFont="1" applyFill="1" applyAlignment="1">
      <alignment horizontal="center"/>
    </xf>
    <xf numFmtId="43" fontId="20" fillId="0" borderId="0" xfId="1" applyFont="1"/>
    <xf numFmtId="43" fontId="18" fillId="0" borderId="0" xfId="1" applyFont="1" applyFill="1"/>
    <xf numFmtId="0" fontId="0" fillId="0" borderId="0" xfId="0" applyFill="1"/>
    <xf numFmtId="0" fontId="31" fillId="8" borderId="0" xfId="0" applyFont="1" applyFill="1" applyAlignment="1">
      <alignment horizontal="center" vertical="top" wrapText="1"/>
    </xf>
    <xf numFmtId="0" fontId="31" fillId="8" borderId="20" xfId="0" applyFont="1" applyFill="1" applyBorder="1" applyAlignment="1">
      <alignment horizontal="center" vertical="top" wrapText="1"/>
    </xf>
    <xf numFmtId="0" fontId="30" fillId="3" borderId="0" xfId="0" applyFont="1" applyFill="1"/>
    <xf numFmtId="0" fontId="30" fillId="3" borderId="0" xfId="0" applyFont="1" applyFill="1" applyAlignment="1">
      <alignment horizontal="center" vertical="center"/>
    </xf>
    <xf numFmtId="4" fontId="30" fillId="3" borderId="0" xfId="0" applyNumberFormat="1" applyFont="1" applyFill="1" applyAlignment="1">
      <alignment horizontal="center" vertical="center"/>
    </xf>
    <xf numFmtId="4" fontId="30" fillId="3" borderId="0" xfId="1" applyNumberFormat="1" applyFont="1" applyFill="1" applyAlignment="1">
      <alignment horizontal="center" vertical="center"/>
    </xf>
    <xf numFmtId="4" fontId="30" fillId="3" borderId="0" xfId="0" applyNumberFormat="1" applyFont="1" applyFill="1"/>
    <xf numFmtId="0" fontId="0" fillId="3" borderId="0" xfId="0" applyFont="1" applyFill="1"/>
    <xf numFmtId="43" fontId="18" fillId="3" borderId="0" xfId="1" applyFont="1" applyFill="1"/>
    <xf numFmtId="0" fontId="27" fillId="2" borderId="1" xfId="0" applyFont="1" applyFill="1" applyBorder="1" applyAlignment="1">
      <alignment horizontal="center" vertical="center" wrapText="1"/>
    </xf>
    <xf numFmtId="0" fontId="27" fillId="2" borderId="1" xfId="0" applyFont="1" applyFill="1" applyBorder="1" applyAlignment="1">
      <alignment horizontal="left" vertical="center" wrapText="1"/>
    </xf>
    <xf numFmtId="0" fontId="22" fillId="2" borderId="3"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2" xfId="0" applyFont="1" applyFill="1" applyBorder="1" applyAlignment="1">
      <alignment horizontal="center" vertical="center" wrapText="1"/>
    </xf>
    <xf numFmtId="9" fontId="22" fillId="2" borderId="2" xfId="5"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3" fillId="0" borderId="1" xfId="0" applyFont="1" applyBorder="1" applyAlignment="1">
      <alignment horizontal="center" vertical="center" wrapText="1"/>
    </xf>
    <xf numFmtId="165" fontId="22" fillId="2" borderId="1" xfId="0" applyNumberFormat="1" applyFont="1" applyFill="1" applyBorder="1" applyAlignment="1">
      <alignment horizontal="center" vertical="center" wrapText="1"/>
    </xf>
    <xf numFmtId="164" fontId="21" fillId="0" borderId="1" xfId="1" applyNumberFormat="1" applyFont="1" applyFill="1" applyBorder="1" applyAlignment="1">
      <alignment horizontal="right" vertical="top" wrapText="1"/>
    </xf>
    <xf numFmtId="3" fontId="21" fillId="0" borderId="1" xfId="0" applyNumberFormat="1" applyFont="1" applyFill="1" applyBorder="1" applyAlignment="1">
      <alignment horizontal="right" vertical="top" wrapText="1"/>
    </xf>
    <xf numFmtId="3" fontId="21" fillId="0" borderId="1" xfId="0" applyNumberFormat="1" applyFont="1" applyFill="1" applyBorder="1" applyAlignment="1">
      <alignment horizontal="right" vertical="top"/>
    </xf>
    <xf numFmtId="0" fontId="22" fillId="2" borderId="1" xfId="0" applyFont="1" applyFill="1" applyBorder="1" applyAlignment="1">
      <alignment horizontal="center" vertical="center" wrapText="1"/>
    </xf>
    <xf numFmtId="0" fontId="21" fillId="0" borderId="1" xfId="0" applyFont="1" applyFill="1" applyBorder="1" applyAlignment="1">
      <alignment horizontal="left" vertical="top" wrapText="1"/>
    </xf>
    <xf numFmtId="0" fontId="22" fillId="2" borderId="1" xfId="0" applyFont="1" applyFill="1" applyBorder="1" applyAlignment="1">
      <alignment horizontal="left" vertical="center" wrapText="1"/>
    </xf>
    <xf numFmtId="0" fontId="22" fillId="2" borderId="2" xfId="0" applyFont="1" applyFill="1" applyBorder="1" applyAlignment="1">
      <alignment horizontal="left" vertical="center" wrapText="1"/>
    </xf>
    <xf numFmtId="164" fontId="21" fillId="4" borderId="1" xfId="1" applyNumberFormat="1" applyFont="1" applyFill="1" applyBorder="1" applyAlignment="1">
      <alignment vertical="center" wrapText="1"/>
    </xf>
    <xf numFmtId="0" fontId="21" fillId="4" borderId="0" xfId="0" applyFont="1" applyFill="1" applyBorder="1" applyAlignment="1">
      <alignment vertical="center" wrapText="1"/>
    </xf>
    <xf numFmtId="0" fontId="21" fillId="17" borderId="1" xfId="0" applyFont="1" applyFill="1" applyBorder="1" applyAlignment="1">
      <alignment horizontal="left" vertical="center" wrapText="1"/>
    </xf>
    <xf numFmtId="0" fontId="21" fillId="17" borderId="1" xfId="0" applyFont="1" applyFill="1" applyBorder="1" applyAlignment="1">
      <alignment horizontal="left" vertical="top" wrapText="1"/>
    </xf>
    <xf numFmtId="0" fontId="22" fillId="3" borderId="3" xfId="0" applyFont="1" applyFill="1" applyBorder="1" applyAlignment="1">
      <alignment horizontal="left" vertical="center" wrapText="1"/>
    </xf>
    <xf numFmtId="0" fontId="22" fillId="3" borderId="3" xfId="0" applyFont="1" applyFill="1" applyBorder="1" applyAlignment="1">
      <alignment horizontal="center" vertical="center" wrapText="1"/>
    </xf>
    <xf numFmtId="164" fontId="22" fillId="3" borderId="3" xfId="1" applyNumberFormat="1" applyFont="1" applyFill="1" applyBorder="1" applyAlignment="1">
      <alignment horizontal="center" vertical="center" wrapText="1"/>
    </xf>
    <xf numFmtId="0" fontId="45" fillId="0" borderId="1" xfId="0" applyFont="1" applyFill="1" applyBorder="1" applyAlignment="1">
      <alignment vertical="center" wrapText="1"/>
    </xf>
    <xf numFmtId="165" fontId="22" fillId="2" borderId="10" xfId="0" applyNumberFormat="1" applyFont="1" applyFill="1" applyBorder="1" applyAlignment="1">
      <alignment vertical="center" wrapText="1"/>
    </xf>
    <xf numFmtId="165" fontId="21" fillId="2" borderId="10" xfId="0" applyNumberFormat="1" applyFont="1" applyFill="1" applyBorder="1" applyAlignment="1">
      <alignment vertical="center" wrapText="1"/>
    </xf>
    <xf numFmtId="165" fontId="21" fillId="4" borderId="10" xfId="0" applyNumberFormat="1" applyFont="1" applyFill="1" applyBorder="1" applyAlignment="1">
      <alignment vertical="center" wrapText="1"/>
    </xf>
    <xf numFmtId="164" fontId="21" fillId="2" borderId="10" xfId="3" applyNumberFormat="1" applyFont="1" applyFill="1" applyBorder="1" applyAlignment="1">
      <alignment horizontal="right" vertical="center" wrapText="1"/>
    </xf>
    <xf numFmtId="164" fontId="21" fillId="0" borderId="10" xfId="3" applyNumberFormat="1" applyFont="1" applyFill="1" applyBorder="1" applyAlignment="1">
      <alignment horizontal="right" vertical="center" wrapText="1"/>
    </xf>
    <xf numFmtId="164" fontId="21" fillId="3" borderId="10" xfId="3" applyNumberFormat="1" applyFont="1" applyFill="1" applyBorder="1" applyAlignment="1">
      <alignment horizontal="right" vertical="center" wrapText="1"/>
    </xf>
    <xf numFmtId="164" fontId="22" fillId="3" borderId="10" xfId="3" applyNumberFormat="1" applyFont="1" applyFill="1" applyBorder="1" applyAlignment="1">
      <alignment horizontal="center" vertical="center" wrapText="1"/>
    </xf>
    <xf numFmtId="164" fontId="22" fillId="4" borderId="10" xfId="3" applyNumberFormat="1" applyFont="1" applyFill="1" applyBorder="1" applyAlignment="1">
      <alignment horizontal="center" vertical="center" wrapText="1"/>
    </xf>
    <xf numFmtId="164" fontId="22" fillId="0" borderId="10" xfId="3" applyNumberFormat="1" applyFont="1" applyFill="1" applyBorder="1" applyAlignment="1">
      <alignment horizontal="center" vertical="center" wrapText="1"/>
    </xf>
    <xf numFmtId="164" fontId="22" fillId="5" borderId="10" xfId="3" applyNumberFormat="1" applyFont="1" applyFill="1" applyBorder="1" applyAlignment="1">
      <alignment horizontal="center" vertical="center" wrapText="1"/>
    </xf>
    <xf numFmtId="43" fontId="21" fillId="2" borderId="10" xfId="3" applyFont="1" applyFill="1" applyBorder="1" applyAlignment="1">
      <alignment horizontal="left" vertical="center" wrapText="1"/>
    </xf>
    <xf numFmtId="43" fontId="21" fillId="2" borderId="10" xfId="1" applyFont="1" applyFill="1" applyBorder="1" applyAlignment="1">
      <alignment horizontal="left" vertical="center" wrapText="1"/>
    </xf>
    <xf numFmtId="43" fontId="21" fillId="2" borderId="10" xfId="3" applyFont="1" applyFill="1" applyBorder="1" applyAlignment="1">
      <alignment vertical="top" wrapText="1"/>
    </xf>
    <xf numFmtId="43" fontId="22" fillId="7" borderId="12" xfId="1" applyFont="1" applyFill="1" applyBorder="1" applyAlignment="1">
      <alignment horizontal="left" vertical="center" wrapText="1"/>
    </xf>
    <xf numFmtId="43" fontId="22" fillId="5" borderId="10" xfId="1" applyFont="1" applyFill="1" applyBorder="1" applyAlignment="1">
      <alignment horizontal="center" vertical="center" wrapText="1"/>
    </xf>
    <xf numFmtId="43" fontId="21" fillId="2" borderId="10" xfId="3" applyFont="1" applyFill="1" applyBorder="1" applyAlignment="1">
      <alignment vertical="center" wrapText="1"/>
    </xf>
    <xf numFmtId="43" fontId="22" fillId="14" borderId="10" xfId="3" applyFont="1" applyFill="1" applyBorder="1" applyAlignment="1">
      <alignment vertical="top" wrapText="1"/>
    </xf>
    <xf numFmtId="43" fontId="21" fillId="2" borderId="10" xfId="1" applyFont="1" applyFill="1" applyBorder="1" applyAlignment="1">
      <alignment horizontal="right" vertical="center" wrapText="1"/>
    </xf>
    <xf numFmtId="43" fontId="22" fillId="7" borderId="10" xfId="1" applyFont="1" applyFill="1" applyBorder="1" applyAlignment="1">
      <alignment horizontal="right" vertical="center" wrapText="1"/>
    </xf>
    <xf numFmtId="164" fontId="22" fillId="3" borderId="10" xfId="3" applyNumberFormat="1" applyFont="1" applyFill="1" applyBorder="1" applyAlignment="1">
      <alignment horizontal="right" vertical="center" wrapText="1"/>
    </xf>
    <xf numFmtId="165" fontId="21" fillId="4" borderId="13" xfId="0" applyNumberFormat="1" applyFont="1" applyFill="1" applyBorder="1" applyAlignment="1">
      <alignment vertical="center" wrapText="1"/>
    </xf>
    <xf numFmtId="165" fontId="21" fillId="0" borderId="10" xfId="0" applyNumberFormat="1" applyFont="1" applyFill="1" applyBorder="1" applyAlignment="1">
      <alignment vertical="center" wrapText="1"/>
    </xf>
    <xf numFmtId="164" fontId="21" fillId="0" borderId="10" xfId="1" applyNumberFormat="1" applyFont="1" applyFill="1" applyBorder="1" applyAlignment="1">
      <alignment vertical="center" wrapText="1"/>
    </xf>
    <xf numFmtId="164" fontId="21" fillId="4" borderId="10" xfId="1" applyNumberFormat="1" applyFont="1" applyFill="1" applyBorder="1" applyAlignment="1">
      <alignment vertical="center" wrapText="1"/>
    </xf>
    <xf numFmtId="164" fontId="22" fillId="3" borderId="13" xfId="1" applyNumberFormat="1" applyFont="1" applyFill="1" applyBorder="1" applyAlignment="1">
      <alignment horizontal="center" vertical="center" wrapText="1"/>
    </xf>
    <xf numFmtId="43" fontId="23" fillId="0" borderId="1" xfId="0" applyNumberFormat="1" applyFont="1" applyBorder="1" applyAlignment="1">
      <alignment wrapText="1"/>
    </xf>
    <xf numFmtId="164" fontId="23" fillId="0" borderId="1" xfId="0" applyNumberFormat="1" applyFont="1" applyBorder="1" applyAlignment="1">
      <alignment wrapText="1"/>
    </xf>
    <xf numFmtId="3" fontId="21" fillId="0" borderId="1" xfId="0" applyNumberFormat="1" applyFont="1" applyFill="1" applyBorder="1" applyAlignment="1">
      <alignment vertical="center" wrapText="1"/>
    </xf>
    <xf numFmtId="0" fontId="27" fillId="0" borderId="1" xfId="0" applyFont="1" applyFill="1" applyBorder="1" applyAlignment="1">
      <alignment vertical="top" wrapText="1"/>
    </xf>
    <xf numFmtId="0" fontId="21" fillId="4" borderId="1" xfId="0" applyFont="1" applyFill="1" applyBorder="1" applyAlignment="1">
      <alignment horizontal="center" vertical="top" wrapText="1"/>
    </xf>
    <xf numFmtId="0" fontId="21" fillId="4" borderId="1" xfId="0" applyFont="1" applyFill="1" applyBorder="1" applyAlignment="1">
      <alignment vertical="top"/>
    </xf>
    <xf numFmtId="0" fontId="28" fillId="4" borderId="1" xfId="0" applyFont="1" applyFill="1" applyBorder="1" applyAlignment="1">
      <alignment vertical="top" wrapText="1"/>
    </xf>
    <xf numFmtId="0" fontId="21" fillId="4" borderId="1" xfId="0" applyFont="1" applyFill="1" applyBorder="1" applyAlignment="1">
      <alignment vertical="top" wrapText="1"/>
    </xf>
    <xf numFmtId="3" fontId="21" fillId="4" borderId="1" xfId="0" applyNumberFormat="1" applyFont="1" applyFill="1" applyBorder="1" applyAlignment="1">
      <alignment horizontal="right" vertical="top"/>
    </xf>
    <xf numFmtId="3" fontId="21" fillId="4" borderId="1" xfId="0" applyNumberFormat="1" applyFont="1" applyFill="1" applyBorder="1" applyAlignment="1">
      <alignment horizontal="center" vertical="top" wrapText="1"/>
    </xf>
    <xf numFmtId="164" fontId="21" fillId="4" borderId="1" xfId="1" applyNumberFormat="1" applyFont="1" applyFill="1" applyBorder="1" applyAlignment="1">
      <alignment horizontal="right" vertical="top" wrapText="1"/>
    </xf>
    <xf numFmtId="164" fontId="21" fillId="4" borderId="1" xfId="1" applyNumberFormat="1" applyFont="1" applyFill="1" applyBorder="1" applyAlignment="1">
      <alignment horizontal="right" vertical="top"/>
    </xf>
    <xf numFmtId="3" fontId="21" fillId="4" borderId="1" xfId="0" applyNumberFormat="1" applyFont="1" applyFill="1" applyBorder="1" applyAlignment="1">
      <alignment horizontal="right" vertical="top" wrapText="1"/>
    </xf>
    <xf numFmtId="3" fontId="22" fillId="3" borderId="3" xfId="0" applyNumberFormat="1" applyFont="1" applyFill="1" applyBorder="1" applyAlignment="1">
      <alignment horizontal="center" vertical="top"/>
    </xf>
    <xf numFmtId="164" fontId="46" fillId="16" borderId="14" xfId="3" applyNumberFormat="1" applyFont="1" applyFill="1" applyBorder="1" applyAlignment="1">
      <alignment horizontal="center" vertical="top" wrapText="1"/>
    </xf>
    <xf numFmtId="164" fontId="46" fillId="16" borderId="15" xfId="3" applyNumberFormat="1" applyFont="1" applyFill="1" applyBorder="1" applyAlignment="1">
      <alignment horizontal="center" vertical="top" wrapText="1"/>
    </xf>
    <xf numFmtId="164" fontId="46" fillId="16" borderId="16" xfId="3" applyNumberFormat="1" applyFont="1" applyFill="1" applyBorder="1" applyAlignment="1">
      <alignment horizontal="center" vertical="top" wrapText="1"/>
    </xf>
    <xf numFmtId="164" fontId="46" fillId="16" borderId="4" xfId="3" applyNumberFormat="1" applyFont="1" applyFill="1" applyBorder="1" applyAlignment="1">
      <alignment horizontal="center" vertical="center" wrapText="1"/>
    </xf>
    <xf numFmtId="164" fontId="46" fillId="16" borderId="1" xfId="3" applyNumberFormat="1" applyFont="1" applyFill="1" applyBorder="1" applyAlignment="1">
      <alignment horizontal="center" vertical="center" wrapText="1"/>
    </xf>
    <xf numFmtId="164" fontId="46" fillId="16" borderId="9" xfId="3" applyNumberFormat="1" applyFont="1" applyFill="1" applyBorder="1" applyAlignment="1">
      <alignment horizontal="center" vertical="center" wrapText="1"/>
    </xf>
    <xf numFmtId="0" fontId="27" fillId="0" borderId="0" xfId="0" applyFont="1" applyAlignment="1">
      <alignment wrapText="1"/>
    </xf>
    <xf numFmtId="0" fontId="27" fillId="0" borderId="0" xfId="0" applyFont="1" applyAlignment="1">
      <alignment vertical="top" wrapText="1"/>
    </xf>
    <xf numFmtId="0" fontId="27" fillId="0" borderId="0" xfId="0" applyFont="1" applyAlignment="1">
      <alignment vertical="top"/>
    </xf>
    <xf numFmtId="0" fontId="27" fillId="3" borderId="0" xfId="0" applyFont="1" applyFill="1" applyAlignment="1">
      <alignment wrapText="1"/>
    </xf>
    <xf numFmtId="0" fontId="27" fillId="0" borderId="9" xfId="0" applyFont="1" applyBorder="1" applyAlignment="1">
      <alignment wrapText="1"/>
    </xf>
    <xf numFmtId="0" fontId="27" fillId="0" borderId="1" xfId="0" applyFont="1" applyBorder="1" applyAlignment="1">
      <alignment vertical="top" wrapText="1"/>
    </xf>
    <xf numFmtId="164" fontId="21" fillId="2" borderId="1" xfId="3" applyNumberFormat="1" applyFont="1" applyFill="1" applyBorder="1" applyAlignment="1">
      <alignment vertical="center"/>
    </xf>
    <xf numFmtId="164" fontId="21" fillId="2" borderId="1" xfId="3" applyNumberFormat="1" applyFont="1" applyFill="1" applyBorder="1" applyAlignment="1">
      <alignment horizontal="right" vertical="center"/>
    </xf>
    <xf numFmtId="0" fontId="27" fillId="0" borderId="9" xfId="0" applyFont="1" applyBorder="1" applyAlignment="1">
      <alignment vertical="top" wrapText="1"/>
    </xf>
    <xf numFmtId="43" fontId="21" fillId="2" borderId="1" xfId="3" applyNumberFormat="1" applyFont="1" applyFill="1" applyBorder="1" applyAlignment="1">
      <alignment vertical="center"/>
    </xf>
    <xf numFmtId="0" fontId="27" fillId="0" borderId="17" xfId="0" applyFont="1" applyBorder="1" applyAlignment="1">
      <alignment horizontal="left" vertical="top" wrapText="1"/>
    </xf>
    <xf numFmtId="0" fontId="27" fillId="0" borderId="17" xfId="0" applyFont="1" applyBorder="1" applyAlignment="1">
      <alignment vertical="top" wrapText="1"/>
    </xf>
    <xf numFmtId="0" fontId="27" fillId="18" borderId="18" xfId="0" applyFont="1" applyFill="1" applyBorder="1" applyAlignment="1">
      <alignment vertical="top" wrapText="1"/>
    </xf>
    <xf numFmtId="43" fontId="21" fillId="0" borderId="10" xfId="1" applyFont="1" applyFill="1" applyBorder="1" applyAlignment="1">
      <alignment horizontal="left" vertical="center" wrapText="1"/>
    </xf>
    <xf numFmtId="0" fontId="24" fillId="0" borderId="1" xfId="0" applyFont="1" applyFill="1" applyBorder="1" applyAlignment="1">
      <alignment horizontal="center"/>
    </xf>
    <xf numFmtId="43" fontId="22" fillId="4" borderId="10" xfId="1" applyFont="1" applyFill="1" applyBorder="1" applyAlignment="1">
      <alignment horizontal="left" vertical="center" wrapText="1"/>
    </xf>
    <xf numFmtId="0" fontId="23" fillId="0" borderId="10" xfId="0" applyFont="1" applyFill="1" applyBorder="1"/>
    <xf numFmtId="0" fontId="24" fillId="3" borderId="1" xfId="0" applyFont="1" applyFill="1" applyBorder="1" applyAlignment="1">
      <alignment horizontal="center"/>
    </xf>
    <xf numFmtId="0" fontId="21" fillId="0" borderId="6" xfId="0" applyFont="1" applyFill="1" applyBorder="1" applyAlignment="1">
      <alignment horizontal="left" vertical="center" wrapText="1"/>
    </xf>
    <xf numFmtId="0" fontId="27" fillId="0" borderId="7" xfId="0" applyFont="1" applyBorder="1" applyAlignment="1">
      <alignment wrapText="1"/>
    </xf>
    <xf numFmtId="43" fontId="21" fillId="0" borderId="6" xfId="1" applyFont="1" applyFill="1" applyBorder="1" applyAlignment="1">
      <alignment horizontal="left" vertical="center" wrapText="1"/>
    </xf>
    <xf numFmtId="0" fontId="27" fillId="0" borderId="1" xfId="0" applyFont="1" applyBorder="1" applyAlignment="1">
      <alignment wrapText="1"/>
    </xf>
    <xf numFmtId="0" fontId="22" fillId="3" borderId="2" xfId="0" applyFont="1" applyFill="1" applyBorder="1" applyAlignment="1">
      <alignment horizontal="center" vertical="center" wrapText="1"/>
    </xf>
    <xf numFmtId="43" fontId="22" fillId="3" borderId="10" xfId="1" applyFont="1" applyFill="1" applyBorder="1" applyAlignment="1">
      <alignment horizontal="left" vertical="center" wrapText="1"/>
    </xf>
    <xf numFmtId="0" fontId="45" fillId="0" borderId="1" xfId="0" applyFont="1" applyFill="1" applyBorder="1" applyAlignment="1">
      <alignment horizontal="center" vertical="center" wrapText="1"/>
    </xf>
    <xf numFmtId="0" fontId="45" fillId="0" borderId="1" xfId="0" applyFont="1" applyFill="1" applyBorder="1" applyAlignment="1">
      <alignment horizontal="left" vertical="center" wrapText="1"/>
    </xf>
    <xf numFmtId="165" fontId="45" fillId="0" borderId="1" xfId="0" applyNumberFormat="1" applyFont="1" applyFill="1" applyBorder="1" applyAlignment="1">
      <alignment vertical="center" wrapText="1"/>
    </xf>
    <xf numFmtId="0" fontId="45" fillId="2" borderId="1" xfId="0" applyFont="1" applyFill="1" applyBorder="1" applyAlignment="1">
      <alignment vertical="center" wrapText="1"/>
    </xf>
    <xf numFmtId="0" fontId="45" fillId="2" borderId="0" xfId="0" applyFont="1" applyFill="1" applyBorder="1" applyAlignment="1">
      <alignment vertical="center" wrapText="1"/>
    </xf>
    <xf numFmtId="0" fontId="21" fillId="19" borderId="1" xfId="0" applyFont="1" applyFill="1" applyBorder="1" applyAlignment="1">
      <alignment vertical="center" wrapText="1"/>
    </xf>
    <xf numFmtId="0" fontId="47" fillId="5" borderId="1" xfId="0" applyFont="1" applyFill="1" applyBorder="1" applyAlignment="1">
      <alignment vertical="center" wrapText="1"/>
    </xf>
    <xf numFmtId="0" fontId="23" fillId="5" borderId="1" xfId="0" applyFont="1" applyFill="1" applyBorder="1" applyAlignment="1">
      <alignment wrapText="1"/>
    </xf>
    <xf numFmtId="0" fontId="22" fillId="5" borderId="1" xfId="0" applyFont="1" applyFill="1" applyBorder="1" applyAlignment="1">
      <alignment horizontal="left" vertical="center" wrapText="1"/>
    </xf>
    <xf numFmtId="0" fontId="23" fillId="19" borderId="1" xfId="0" applyFont="1" applyFill="1" applyBorder="1"/>
    <xf numFmtId="43" fontId="23" fillId="0" borderId="1" xfId="0" applyNumberFormat="1" applyFont="1" applyBorder="1" applyAlignment="1">
      <alignment vertical="center" wrapText="1"/>
    </xf>
    <xf numFmtId="43" fontId="22" fillId="7" borderId="1" xfId="0" applyNumberFormat="1" applyFont="1" applyFill="1" applyBorder="1" applyAlignment="1">
      <alignment vertical="center" wrapText="1"/>
    </xf>
    <xf numFmtId="0" fontId="23" fillId="17" borderId="1" xfId="0" applyFont="1" applyFill="1" applyBorder="1" applyAlignment="1">
      <alignment vertical="center" wrapText="1"/>
    </xf>
    <xf numFmtId="0" fontId="46" fillId="20" borderId="1" xfId="0" applyFont="1" applyFill="1" applyBorder="1" applyAlignment="1">
      <alignment wrapText="1"/>
    </xf>
    <xf numFmtId="164" fontId="46" fillId="20" borderId="1" xfId="0" applyNumberFormat="1" applyFont="1" applyFill="1" applyBorder="1" applyAlignment="1">
      <alignment wrapText="1"/>
    </xf>
    <xf numFmtId="43" fontId="46" fillId="20" borderId="1" xfId="1" applyFont="1" applyFill="1" applyBorder="1" applyAlignment="1">
      <alignment wrapText="1"/>
    </xf>
    <xf numFmtId="3" fontId="29" fillId="19" borderId="1" xfId="0" applyNumberFormat="1" applyFont="1" applyFill="1" applyBorder="1" applyAlignment="1">
      <alignment horizontal="right" vertical="top" wrapText="1" indent="1" readingOrder="1"/>
    </xf>
    <xf numFmtId="0" fontId="0" fillId="2" borderId="0" xfId="0" applyFont="1" applyFill="1"/>
    <xf numFmtId="0" fontId="20" fillId="2" borderId="0" xfId="0" applyFont="1" applyFill="1" applyAlignment="1">
      <alignment horizontal="center"/>
    </xf>
    <xf numFmtId="3" fontId="29" fillId="3" borderId="1" xfId="0" applyNumberFormat="1" applyFont="1" applyFill="1" applyBorder="1" applyAlignment="1">
      <alignment horizontal="right" vertical="top" wrapText="1" indent="1" readingOrder="1"/>
    </xf>
    <xf numFmtId="0" fontId="27" fillId="2" borderId="7" xfId="0" applyFont="1" applyFill="1" applyBorder="1" applyAlignment="1">
      <alignment vertical="top" wrapText="1"/>
    </xf>
    <xf numFmtId="0" fontId="23" fillId="2" borderId="1" xfId="0" applyFont="1" applyFill="1" applyBorder="1"/>
    <xf numFmtId="0" fontId="21" fillId="2" borderId="3" xfId="0" applyFont="1" applyFill="1" applyBorder="1" applyAlignment="1">
      <alignment vertical="top" wrapText="1"/>
    </xf>
    <xf numFmtId="0" fontId="21" fillId="2" borderId="3" xfId="0" applyFont="1" applyFill="1" applyBorder="1" applyAlignment="1">
      <alignment horizontal="left" vertical="center" wrapText="1"/>
    </xf>
    <xf numFmtId="0" fontId="21" fillId="2" borderId="3" xfId="0" applyFont="1" applyFill="1" applyBorder="1" applyAlignment="1">
      <alignment horizontal="left" vertical="top" wrapText="1"/>
    </xf>
    <xf numFmtId="43" fontId="21" fillId="2" borderId="3" xfId="1" applyFont="1" applyFill="1" applyBorder="1" applyAlignment="1">
      <alignment horizontal="left" vertical="center" wrapText="1"/>
    </xf>
    <xf numFmtId="0" fontId="24" fillId="2" borderId="1" xfId="0" applyFont="1" applyFill="1" applyBorder="1" applyAlignment="1">
      <alignment horizontal="center"/>
    </xf>
    <xf numFmtId="0" fontId="0" fillId="11" borderId="0" xfId="0" applyFont="1" applyFill="1" applyAlignment="1">
      <alignment vertical="top" wrapText="1"/>
    </xf>
    <xf numFmtId="3" fontId="33" fillId="0" borderId="0" xfId="0" applyNumberFormat="1" applyFont="1" applyAlignment="1">
      <alignment horizontal="center" vertical="top" wrapText="1"/>
    </xf>
    <xf numFmtId="3" fontId="30" fillId="15" borderId="0" xfId="0" applyNumberFormat="1" applyFont="1" applyFill="1" applyAlignment="1">
      <alignment horizontal="left" vertical="top" wrapText="1" indent="1"/>
    </xf>
    <xf numFmtId="3" fontId="30" fillId="15" borderId="0" xfId="0" applyNumberFormat="1" applyFont="1" applyFill="1" applyAlignment="1">
      <alignment horizontal="center" vertical="top" wrapText="1"/>
    </xf>
    <xf numFmtId="3" fontId="30" fillId="0" borderId="0" xfId="0" applyNumberFormat="1" applyFont="1" applyAlignment="1">
      <alignment horizontal="left" vertical="top" wrapText="1" indent="1"/>
    </xf>
    <xf numFmtId="0" fontId="31" fillId="21" borderId="0" xfId="0" applyFont="1" applyFill="1" applyAlignment="1">
      <alignment horizontal="center" vertical="center" wrapText="1"/>
    </xf>
    <xf numFmtId="0" fontId="20" fillId="0" borderId="0" xfId="0" applyFont="1" applyAlignment="1">
      <alignment horizontal="center"/>
    </xf>
    <xf numFmtId="0" fontId="48" fillId="0" borderId="0" xfId="0" applyFont="1" applyAlignment="1">
      <alignment wrapText="1"/>
    </xf>
    <xf numFmtId="0" fontId="48" fillId="0" borderId="1" xfId="0" applyFont="1" applyFill="1" applyBorder="1" applyAlignment="1">
      <alignment horizontal="center" vertical="center" wrapText="1"/>
    </xf>
    <xf numFmtId="0" fontId="8" fillId="0" borderId="0" xfId="0" applyFont="1" applyFill="1" applyAlignment="1">
      <alignment wrapText="1"/>
    </xf>
    <xf numFmtId="0" fontId="48" fillId="0" borderId="0" xfId="0" applyFont="1" applyFill="1" applyAlignment="1">
      <alignment wrapText="1"/>
    </xf>
    <xf numFmtId="0" fontId="48" fillId="2" borderId="0" xfId="0" applyFont="1" applyFill="1" applyAlignment="1">
      <alignment wrapText="1"/>
    </xf>
    <xf numFmtId="0" fontId="8" fillId="0" borderId="1" xfId="0" applyFont="1" applyFill="1" applyBorder="1" applyAlignment="1">
      <alignment horizontal="center" vertical="center" wrapText="1"/>
    </xf>
    <xf numFmtId="0" fontId="8" fillId="0" borderId="0" xfId="0" applyFont="1" applyFill="1" applyBorder="1" applyAlignment="1">
      <alignment vertical="center" wrapText="1"/>
    </xf>
    <xf numFmtId="0" fontId="48" fillId="0" borderId="0" xfId="0" applyFont="1" applyFill="1" applyAlignment="1">
      <alignment horizontal="center" vertical="center" wrapText="1"/>
    </xf>
    <xf numFmtId="0" fontId="49" fillId="0" borderId="0" xfId="0" applyFont="1" applyFill="1" applyAlignment="1">
      <alignment wrapText="1"/>
    </xf>
    <xf numFmtId="43" fontId="49" fillId="0" borderId="0" xfId="0" applyNumberFormat="1" applyFont="1" applyFill="1" applyAlignment="1">
      <alignment wrapText="1"/>
    </xf>
    <xf numFmtId="0" fontId="49" fillId="0" borderId="1" xfId="0" applyFont="1" applyFill="1" applyBorder="1" applyAlignment="1">
      <alignment wrapText="1"/>
    </xf>
    <xf numFmtId="43" fontId="48" fillId="0" borderId="0" xfId="0" applyNumberFormat="1" applyFont="1" applyFill="1" applyAlignment="1">
      <alignment wrapText="1"/>
    </xf>
    <xf numFmtId="0" fontId="49" fillId="0" borderId="1" xfId="0" applyFont="1" applyFill="1" applyBorder="1" applyAlignment="1">
      <alignment horizontal="center" wrapText="1"/>
    </xf>
    <xf numFmtId="0" fontId="4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165" fontId="9" fillId="0" borderId="1" xfId="0" applyNumberFormat="1" applyFont="1" applyFill="1" applyBorder="1" applyAlignment="1">
      <alignment horizontal="center" vertical="center"/>
    </xf>
    <xf numFmtId="0" fontId="8" fillId="0" borderId="1" xfId="0" applyFont="1" applyFill="1" applyBorder="1" applyAlignment="1">
      <alignment vertical="top" wrapText="1"/>
    </xf>
    <xf numFmtId="3" fontId="8"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9" fillId="0" borderId="1" xfId="0" applyFont="1" applyFill="1" applyBorder="1" applyAlignment="1">
      <alignment horizontal="center"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horizontal="left" vertical="top" wrapText="1"/>
    </xf>
    <xf numFmtId="0" fontId="48" fillId="0" borderId="1" xfId="0" applyFont="1" applyFill="1" applyBorder="1" applyAlignment="1">
      <alignment horizontal="center" vertical="top" wrapText="1"/>
    </xf>
    <xf numFmtId="0" fontId="48"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164" fontId="8" fillId="0" borderId="1" xfId="3" applyNumberFormat="1" applyFont="1" applyFill="1" applyBorder="1" applyAlignment="1">
      <alignment horizontal="center" vertical="top" wrapText="1"/>
    </xf>
    <xf numFmtId="0" fontId="48" fillId="0" borderId="1" xfId="0" applyNumberFormat="1" applyFont="1" applyFill="1" applyBorder="1" applyAlignment="1">
      <alignment horizontal="center" vertical="top" wrapText="1"/>
    </xf>
    <xf numFmtId="164" fontId="8" fillId="0" borderId="1" xfId="3" applyNumberFormat="1" applyFont="1" applyFill="1" applyBorder="1" applyAlignment="1">
      <alignment horizontal="right" vertical="top" wrapText="1"/>
    </xf>
    <xf numFmtId="43" fontId="8" fillId="0" borderId="1" xfId="3" applyNumberFormat="1" applyFont="1" applyFill="1" applyBorder="1" applyAlignment="1">
      <alignment horizontal="right" vertical="top" wrapText="1"/>
    </xf>
    <xf numFmtId="4" fontId="8" fillId="0" borderId="1" xfId="0" applyNumberFormat="1" applyFont="1" applyFill="1" applyBorder="1" applyAlignment="1">
      <alignment horizontal="right" vertical="top" wrapText="1"/>
    </xf>
    <xf numFmtId="43" fontId="8" fillId="0" borderId="1" xfId="0" applyNumberFormat="1" applyFont="1" applyFill="1" applyBorder="1" applyAlignment="1">
      <alignment horizontal="right" vertical="top" wrapText="1"/>
    </xf>
    <xf numFmtId="43" fontId="8" fillId="0" borderId="1" xfId="1" applyNumberFormat="1" applyFont="1" applyFill="1" applyBorder="1" applyAlignment="1">
      <alignment horizontal="right" vertical="top" wrapText="1"/>
    </xf>
    <xf numFmtId="0" fontId="48" fillId="0" borderId="1" xfId="0" applyFont="1" applyFill="1" applyBorder="1" applyAlignment="1">
      <alignment horizontal="right" vertical="top" wrapText="1"/>
    </xf>
    <xf numFmtId="0" fontId="9" fillId="0" borderId="1" xfId="0" applyFont="1" applyFill="1" applyBorder="1" applyAlignment="1">
      <alignment horizontal="right" vertical="top" wrapText="1"/>
    </xf>
    <xf numFmtId="164" fontId="9" fillId="0" borderId="1" xfId="3" applyNumberFormat="1" applyFont="1" applyFill="1" applyBorder="1" applyAlignment="1">
      <alignment horizontal="right" vertical="top" wrapText="1"/>
    </xf>
    <xf numFmtId="43" fontId="8" fillId="0" borderId="1" xfId="1" applyFont="1" applyFill="1" applyBorder="1" applyAlignment="1">
      <alignment horizontal="right" vertical="top" wrapText="1"/>
    </xf>
    <xf numFmtId="0" fontId="8" fillId="0" borderId="1" xfId="0" applyFont="1" applyFill="1" applyBorder="1" applyAlignment="1">
      <alignment horizontal="right" vertical="top" wrapText="1"/>
    </xf>
    <xf numFmtId="43" fontId="48" fillId="0" borderId="1" xfId="0" applyNumberFormat="1" applyFont="1" applyFill="1" applyBorder="1" applyAlignment="1">
      <alignment horizontal="right" vertical="top" wrapText="1"/>
    </xf>
    <xf numFmtId="3" fontId="8" fillId="0" borderId="1" xfId="0" applyNumberFormat="1" applyFont="1" applyFill="1" applyBorder="1" applyAlignment="1">
      <alignment horizontal="right" vertical="top" wrapText="1"/>
    </xf>
    <xf numFmtId="43" fontId="9" fillId="0" borderId="1" xfId="1" applyFont="1" applyFill="1" applyBorder="1" applyAlignment="1">
      <alignment horizontal="right" vertical="top" wrapText="1"/>
    </xf>
    <xf numFmtId="3" fontId="8" fillId="0" borderId="1" xfId="3" applyNumberFormat="1" applyFont="1" applyFill="1" applyBorder="1" applyAlignment="1">
      <alignment horizontal="right" vertical="top" wrapText="1"/>
    </xf>
    <xf numFmtId="43" fontId="49" fillId="0" borderId="1" xfId="0" applyNumberFormat="1" applyFont="1" applyFill="1" applyBorder="1" applyAlignment="1">
      <alignment horizontal="right" vertical="top" wrapText="1"/>
    </xf>
    <xf numFmtId="0" fontId="49" fillId="0" borderId="1" xfId="0" applyFont="1" applyFill="1" applyBorder="1" applyAlignment="1">
      <alignment horizontal="right" vertical="top" wrapText="1"/>
    </xf>
    <xf numFmtId="3" fontId="49" fillId="0" borderId="1" xfId="0" applyNumberFormat="1" applyFont="1" applyFill="1" applyBorder="1" applyAlignment="1">
      <alignment horizontal="right" vertical="top" wrapText="1"/>
    </xf>
    <xf numFmtId="4" fontId="49" fillId="0" borderId="1" xfId="0" applyNumberFormat="1" applyFont="1" applyFill="1" applyBorder="1" applyAlignment="1">
      <alignment horizontal="right"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left" vertical="center" wrapText="1"/>
    </xf>
    <xf numFmtId="9" fontId="9" fillId="0" borderId="1" xfId="5" applyFont="1" applyFill="1" applyBorder="1" applyAlignment="1">
      <alignment horizontal="left" vertical="top" wrapText="1"/>
    </xf>
    <xf numFmtId="0" fontId="48" fillId="0" borderId="0" xfId="0" applyFont="1" applyFill="1" applyAlignment="1">
      <alignment vertical="top"/>
    </xf>
    <xf numFmtId="0" fontId="9" fillId="0" borderId="1" xfId="0" applyFont="1" applyFill="1" applyBorder="1" applyAlignment="1">
      <alignment horizontal="center" vertical="center" wrapText="1"/>
    </xf>
    <xf numFmtId="0" fontId="8" fillId="0" borderId="1" xfId="0" applyFont="1" applyFill="1" applyBorder="1" applyAlignment="1">
      <alignment horizontal="left" vertical="top" wrapText="1"/>
    </xf>
    <xf numFmtId="0" fontId="9" fillId="0" borderId="1" xfId="0" applyFont="1" applyFill="1" applyBorder="1" applyAlignment="1">
      <alignment horizontal="center" vertical="top" wrapText="1"/>
    </xf>
    <xf numFmtId="9" fontId="9" fillId="0" borderId="1" xfId="5" applyFont="1" applyFill="1" applyBorder="1" applyAlignment="1">
      <alignment horizontal="center" vertical="center" wrapText="1"/>
    </xf>
    <xf numFmtId="164" fontId="9" fillId="0" borderId="1" xfId="3" applyNumberFormat="1" applyFont="1" applyFill="1" applyBorder="1" applyAlignment="1">
      <alignment horizontal="center" vertical="center" wrapText="1"/>
    </xf>
    <xf numFmtId="164" fontId="40" fillId="16" borderId="4" xfId="3" applyNumberFormat="1" applyFont="1" applyFill="1" applyBorder="1" applyAlignment="1">
      <alignment horizontal="center" vertical="center" wrapText="1"/>
    </xf>
    <xf numFmtId="164" fontId="40" fillId="16" borderId="1" xfId="3" applyNumberFormat="1" applyFont="1" applyFill="1" applyBorder="1" applyAlignment="1">
      <alignment horizontal="center" vertical="center" wrapText="1"/>
    </xf>
    <xf numFmtId="164" fontId="40" fillId="16" borderId="9" xfId="3" applyNumberFormat="1" applyFont="1" applyFill="1" applyBorder="1" applyAlignment="1">
      <alignment horizontal="center" vertical="center" wrapText="1"/>
    </xf>
    <xf numFmtId="3" fontId="21" fillId="0" borderId="1" xfId="0" applyNumberFormat="1" applyFont="1" applyFill="1" applyBorder="1" applyAlignment="1">
      <alignment horizontal="right" vertical="top"/>
    </xf>
    <xf numFmtId="165" fontId="22" fillId="2" borderId="1" xfId="0" quotePrefix="1" applyNumberFormat="1" applyFont="1" applyFill="1" applyBorder="1" applyAlignment="1">
      <alignment horizontal="center" vertical="center" wrapText="1"/>
    </xf>
    <xf numFmtId="165" fontId="22" fillId="2" borderId="1" xfId="0" applyNumberFormat="1" applyFont="1" applyFill="1" applyBorder="1" applyAlignment="1">
      <alignment horizontal="center" vertical="center" wrapText="1"/>
    </xf>
    <xf numFmtId="0" fontId="21" fillId="0" borderId="1" xfId="0" applyFont="1" applyFill="1" applyBorder="1" applyAlignment="1">
      <alignment horizontal="left" vertical="top" wrapText="1"/>
    </xf>
    <xf numFmtId="0" fontId="22" fillId="2" borderId="1" xfId="0" applyFont="1" applyFill="1" applyBorder="1" applyAlignment="1">
      <alignment horizontal="center" vertical="center" wrapText="1"/>
    </xf>
    <xf numFmtId="0" fontId="21" fillId="2" borderId="0" xfId="0" applyFont="1" applyFill="1" applyBorder="1" applyAlignment="1">
      <alignment horizontal="left" vertical="center" wrapText="1"/>
    </xf>
    <xf numFmtId="0" fontId="21" fillId="0" borderId="0" xfId="0" applyFont="1" applyBorder="1" applyAlignment="1">
      <alignment horizontal="left" vertical="center" wrapText="1"/>
    </xf>
    <xf numFmtId="9" fontId="22" fillId="2" borderId="1" xfId="5" applyFont="1" applyFill="1" applyBorder="1" applyAlignment="1">
      <alignment horizontal="center" vertical="center" wrapText="1"/>
    </xf>
    <xf numFmtId="0" fontId="22" fillId="2" borderId="1" xfId="0" applyFont="1" applyFill="1" applyBorder="1" applyAlignment="1">
      <alignment horizontal="left" vertical="center" wrapText="1"/>
    </xf>
    <xf numFmtId="2" fontId="21" fillId="0" borderId="0" xfId="0" applyNumberFormat="1" applyFont="1" applyBorder="1" applyAlignment="1">
      <alignment horizontal="left" vertical="center" wrapText="1"/>
    </xf>
    <xf numFmtId="3" fontId="21" fillId="0" borderId="1" xfId="0" applyNumberFormat="1" applyFont="1" applyFill="1" applyBorder="1" applyAlignment="1">
      <alignment horizontal="center" vertical="top" wrapText="1"/>
    </xf>
    <xf numFmtId="164" fontId="21" fillId="0" borderId="1" xfId="1" applyNumberFormat="1" applyFont="1" applyFill="1" applyBorder="1" applyAlignment="1">
      <alignment horizontal="right" vertical="top" wrapText="1"/>
    </xf>
    <xf numFmtId="3" fontId="21" fillId="0" borderId="1" xfId="0" applyNumberFormat="1" applyFont="1" applyFill="1" applyBorder="1" applyAlignment="1">
      <alignment horizontal="right" vertical="top" wrapText="1"/>
    </xf>
    <xf numFmtId="164" fontId="9" fillId="0" borderId="1" xfId="3" applyNumberFormat="1" applyFont="1" applyFill="1" applyBorder="1" applyAlignment="1">
      <alignment horizontal="center" vertical="top" wrapText="1"/>
    </xf>
    <xf numFmtId="0" fontId="49" fillId="0"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164" fontId="9" fillId="0" borderId="1" xfId="3" quotePrefix="1" applyNumberFormat="1" applyFont="1" applyFill="1" applyBorder="1" applyAlignment="1">
      <alignment horizontal="center" vertical="center" wrapText="1"/>
    </xf>
    <xf numFmtId="164" fontId="9" fillId="0" borderId="1" xfId="3" applyNumberFormat="1" applyFont="1" applyFill="1" applyBorder="1" applyAlignment="1">
      <alignment horizontal="center" vertical="center" wrapText="1"/>
    </xf>
    <xf numFmtId="0" fontId="8" fillId="0" borderId="1" xfId="0" applyFont="1" applyFill="1" applyBorder="1" applyAlignment="1">
      <alignment horizontal="left" vertical="top"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top" wrapText="1"/>
    </xf>
    <xf numFmtId="9" fontId="9" fillId="0" borderId="1" xfId="5" applyFont="1" applyFill="1" applyBorder="1" applyAlignment="1">
      <alignment horizontal="center" vertical="center" wrapText="1"/>
    </xf>
    <xf numFmtId="0" fontId="9" fillId="2" borderId="1" xfId="0" applyFont="1" applyFill="1" applyBorder="1" applyAlignment="1">
      <alignment horizontal="center" vertical="center" wrapText="1"/>
    </xf>
    <xf numFmtId="0" fontId="48" fillId="0" borderId="1" xfId="0" applyFont="1" applyFill="1" applyBorder="1" applyAlignment="1">
      <alignment horizontal="center" vertical="top" wrapText="1"/>
    </xf>
    <xf numFmtId="0" fontId="22" fillId="2" borderId="3"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2" xfId="0" applyFont="1" applyFill="1" applyBorder="1" applyAlignment="1">
      <alignment horizontal="center" vertical="center" wrapText="1"/>
    </xf>
    <xf numFmtId="165" fontId="22" fillId="2" borderId="19" xfId="0" applyNumberFormat="1" applyFont="1" applyFill="1" applyBorder="1" applyAlignment="1">
      <alignment horizontal="center" vertical="center" wrapText="1"/>
    </xf>
    <xf numFmtId="165" fontId="22" fillId="2" borderId="10" xfId="0" quotePrefix="1" applyNumberFormat="1" applyFont="1" applyFill="1" applyBorder="1" applyAlignment="1">
      <alignment horizontal="center" vertical="center" wrapText="1"/>
    </xf>
    <xf numFmtId="165" fontId="22" fillId="2" borderId="6" xfId="0" applyNumberFormat="1" applyFont="1" applyFill="1" applyBorder="1" applyAlignment="1">
      <alignment horizontal="center" vertical="center" wrapText="1"/>
    </xf>
    <xf numFmtId="9" fontId="22" fillId="2" borderId="3" xfId="5" applyFont="1" applyFill="1" applyBorder="1" applyAlignment="1">
      <alignment horizontal="center" vertical="center" wrapText="1"/>
    </xf>
    <xf numFmtId="9" fontId="22" fillId="2" borderId="2" xfId="5" applyFont="1" applyFill="1" applyBorder="1" applyAlignment="1">
      <alignment horizontal="center" vertical="center" wrapText="1"/>
    </xf>
    <xf numFmtId="0" fontId="22" fillId="2" borderId="3" xfId="0" applyFont="1" applyFill="1" applyBorder="1" applyAlignment="1">
      <alignment horizontal="left" vertical="center" wrapText="1"/>
    </xf>
    <xf numFmtId="0" fontId="22" fillId="2" borderId="7"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10" xfId="0" applyFont="1" applyFill="1" applyBorder="1" applyAlignment="1">
      <alignment horizontal="center" vertical="center" wrapText="1"/>
    </xf>
    <xf numFmtId="0" fontId="22" fillId="2" borderId="6" xfId="0" applyFont="1" applyFill="1" applyBorder="1" applyAlignment="1">
      <alignment horizontal="center" vertical="center" wrapText="1"/>
    </xf>
    <xf numFmtId="164" fontId="46" fillId="16" borderId="4" xfId="3" applyNumberFormat="1" applyFont="1" applyFill="1" applyBorder="1" applyAlignment="1">
      <alignment horizontal="center" vertical="center" wrapText="1"/>
    </xf>
    <xf numFmtId="164" fontId="46" fillId="16" borderId="1" xfId="3" applyNumberFormat="1" applyFont="1" applyFill="1" applyBorder="1" applyAlignment="1">
      <alignment horizontal="center" vertical="center" wrapText="1"/>
    </xf>
    <xf numFmtId="164" fontId="46" fillId="16" borderId="9" xfId="3" applyNumberFormat="1" applyFont="1" applyFill="1" applyBorder="1" applyAlignment="1">
      <alignment horizontal="center" vertical="center" wrapText="1"/>
    </xf>
    <xf numFmtId="165" fontId="22" fillId="2" borderId="19" xfId="0" quotePrefix="1" applyNumberFormat="1" applyFont="1" applyFill="1" applyBorder="1" applyAlignment="1">
      <alignment horizontal="center" vertical="center" wrapText="1"/>
    </xf>
    <xf numFmtId="165" fontId="22" fillId="2" borderId="6" xfId="0" quotePrefix="1" applyNumberFormat="1" applyFont="1" applyFill="1" applyBorder="1" applyAlignment="1">
      <alignment horizontal="center" vertical="center" wrapText="1"/>
    </xf>
    <xf numFmtId="0" fontId="31" fillId="8" borderId="0" xfId="0" applyFont="1" applyFill="1" applyAlignment="1">
      <alignment horizontal="center" vertical="center" wrapText="1"/>
    </xf>
    <xf numFmtId="0" fontId="31" fillId="21" borderId="0" xfId="0" applyFont="1" applyFill="1" applyAlignment="1">
      <alignment horizontal="center" vertical="center" wrapText="1"/>
    </xf>
    <xf numFmtId="0" fontId="33" fillId="0" borderId="0" xfId="0" applyFont="1" applyAlignment="1">
      <alignment vertical="top" wrapText="1"/>
    </xf>
    <xf numFmtId="0" fontId="31" fillId="12" borderId="29" xfId="0" applyFont="1" applyFill="1" applyBorder="1" applyAlignment="1">
      <alignment horizontal="center" vertical="top" wrapText="1"/>
    </xf>
    <xf numFmtId="0" fontId="31" fillId="12" borderId="26" xfId="0" applyFont="1" applyFill="1" applyBorder="1" applyAlignment="1">
      <alignment horizontal="center" vertical="top" wrapText="1"/>
    </xf>
    <xf numFmtId="0" fontId="30" fillId="13" borderId="33" xfId="0" applyFont="1" applyFill="1" applyBorder="1" applyAlignment="1">
      <alignment horizontal="left" vertical="top" wrapText="1"/>
    </xf>
    <xf numFmtId="0" fontId="30" fillId="13" borderId="34" xfId="0" applyFont="1" applyFill="1" applyBorder="1" applyAlignment="1">
      <alignment horizontal="left" vertical="top" wrapText="1"/>
    </xf>
    <xf numFmtId="0" fontId="30" fillId="13" borderId="35" xfId="0" applyFont="1" applyFill="1" applyBorder="1" applyAlignment="1">
      <alignment horizontal="left" vertical="top" wrapText="1"/>
    </xf>
    <xf numFmtId="0" fontId="36" fillId="0" borderId="0" xfId="0" applyFont="1" applyAlignment="1">
      <alignment horizontal="center" vertical="center"/>
    </xf>
    <xf numFmtId="0" fontId="31" fillId="8" borderId="30" xfId="0" applyFont="1" applyFill="1" applyBorder="1" applyAlignment="1">
      <alignment horizontal="center" vertical="center" wrapText="1"/>
    </xf>
    <xf numFmtId="0" fontId="31" fillId="8" borderId="21" xfId="0" applyFont="1" applyFill="1" applyBorder="1" applyAlignment="1">
      <alignment horizontal="center" vertical="center" wrapText="1"/>
    </xf>
    <xf numFmtId="0" fontId="31" fillId="8" borderId="31" xfId="0" applyFont="1" applyFill="1" applyBorder="1" applyAlignment="1">
      <alignment horizontal="center" vertical="center" wrapText="1"/>
    </xf>
    <xf numFmtId="0" fontId="31" fillId="8" borderId="0" xfId="0" applyFont="1" applyFill="1" applyBorder="1" applyAlignment="1">
      <alignment horizontal="center" vertical="center" wrapText="1"/>
    </xf>
    <xf numFmtId="0" fontId="31" fillId="8" borderId="31" xfId="0" applyFont="1" applyFill="1" applyBorder="1" applyAlignment="1">
      <alignment horizontal="center" vertical="top" wrapText="1"/>
    </xf>
    <xf numFmtId="0" fontId="31" fillId="8" borderId="32" xfId="0" applyFont="1" applyFill="1" applyBorder="1" applyAlignment="1">
      <alignment horizontal="center" vertical="top" wrapText="1"/>
    </xf>
  </cellXfs>
  <cellStyles count="6">
    <cellStyle name="Comma" xfId="1" builtinId="3"/>
    <cellStyle name="Comma 2" xfId="2"/>
    <cellStyle name="Comma 2 2" xfId="3"/>
    <cellStyle name="Comma 3" xfId="4"/>
    <cellStyle name="Normal" xfId="0" builtinId="0"/>
    <cellStyle name="Percent" xfId="5"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DA_2/AppData/Local/Temp/notesA37AE0/Revalidated%20PIP%20-%20DOH%20May%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Status of PAPs"/>
      <sheetName val="B-Prioritized Strategic Core"/>
      <sheetName val="Program Description"/>
      <sheetName val="Sheet1"/>
      <sheetName val="Summary Tables"/>
      <sheetName val="EER"/>
      <sheetName val="Sheet4"/>
    </sheetNames>
    <sheetDataSet>
      <sheetData sheetId="0" refreshError="1"/>
      <sheetData sheetId="1" refreshError="1">
        <row r="26">
          <cell r="L26">
            <v>679750</v>
          </cell>
          <cell r="R26">
            <v>946040</v>
          </cell>
          <cell r="X26">
            <v>1315853</v>
          </cell>
          <cell r="AD26">
            <v>2112570</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V150"/>
  <sheetViews>
    <sheetView zoomScale="70" zoomScaleNormal="70" workbookViewId="0">
      <pane xSplit="1" ySplit="4" topLeftCell="AL44" activePane="bottomRight" state="frozen"/>
      <selection pane="topRight" activeCell="B1" sqref="B1"/>
      <selection pane="bottomLeft" activeCell="A5" sqref="A5"/>
      <selection pane="bottomRight" activeCell="AV72" sqref="AV72"/>
    </sheetView>
  </sheetViews>
  <sheetFormatPr defaultRowHeight="12.75"/>
  <cols>
    <col min="1" max="1" width="32.42578125" style="34" customWidth="1"/>
    <col min="2" max="2" width="13.28515625" style="16" customWidth="1"/>
    <col min="3" max="3" width="13" style="16" customWidth="1"/>
    <col min="4" max="4" width="9.7109375" style="34" customWidth="1"/>
    <col min="5" max="5" width="32.85546875" style="34" customWidth="1"/>
    <col min="6" max="6" width="18.5703125" style="34" customWidth="1"/>
    <col min="7" max="7" width="13.140625" style="95" customWidth="1"/>
    <col min="8" max="8" width="21.28515625" style="95" customWidth="1"/>
    <col min="9" max="10" width="12" style="95" customWidth="1"/>
    <col min="11" max="11" width="17.42578125" style="95" customWidth="1"/>
    <col min="12" max="12" width="16" style="95" customWidth="1"/>
    <col min="13" max="17" width="20.7109375" style="33" customWidth="1"/>
    <col min="18" max="18" width="20.7109375" style="41" bestFit="1" customWidth="1"/>
    <col min="19" max="23" width="20.7109375" style="33" customWidth="1"/>
    <col min="24" max="30" width="20.7109375" style="41" customWidth="1"/>
    <col min="31" max="35" width="20.7109375" style="33" customWidth="1"/>
    <col min="36" max="36" width="20.7109375" style="41" customWidth="1"/>
    <col min="37" max="41" width="20.7109375" style="33" customWidth="1"/>
    <col min="42" max="42" width="20.7109375" style="41" customWidth="1"/>
    <col min="43" max="43" width="18.28515625" style="34" bestFit="1" customWidth="1"/>
    <col min="44" max="44" width="18.7109375" style="34" bestFit="1" customWidth="1"/>
    <col min="45" max="45" width="18.85546875" style="34" bestFit="1" customWidth="1"/>
    <col min="46" max="46" width="19.7109375" style="34" bestFit="1" customWidth="1"/>
    <col min="47" max="47" width="9.140625" style="34"/>
    <col min="48" max="48" width="16.42578125" style="34" bestFit="1" customWidth="1"/>
    <col min="49" max="16384" width="9.140625" style="34"/>
  </cols>
  <sheetData>
    <row r="1" spans="1:48">
      <c r="A1" s="503"/>
      <c r="B1" s="17"/>
      <c r="C1" s="17"/>
      <c r="D1" s="499" t="s">
        <v>0</v>
      </c>
      <c r="E1" s="499" t="s">
        <v>198</v>
      </c>
      <c r="F1" s="499" t="s">
        <v>1</v>
      </c>
      <c r="G1" s="499"/>
      <c r="H1" s="499" t="s">
        <v>4</v>
      </c>
      <c r="I1" s="499" t="s">
        <v>199</v>
      </c>
      <c r="J1" s="499" t="s">
        <v>127</v>
      </c>
      <c r="K1" s="499" t="s">
        <v>128</v>
      </c>
      <c r="L1" s="499" t="s">
        <v>200</v>
      </c>
      <c r="M1" s="497" t="s">
        <v>129</v>
      </c>
      <c r="N1" s="497"/>
      <c r="O1" s="497"/>
      <c r="P1" s="497"/>
      <c r="Q1" s="497"/>
      <c r="R1" s="497"/>
      <c r="S1" s="497"/>
      <c r="T1" s="497"/>
      <c r="U1" s="497"/>
      <c r="V1" s="497"/>
      <c r="W1" s="497"/>
      <c r="X1" s="497"/>
      <c r="Y1" s="497"/>
      <c r="Z1" s="497"/>
      <c r="AA1" s="497"/>
      <c r="AB1" s="497"/>
      <c r="AC1" s="497"/>
      <c r="AD1" s="497"/>
      <c r="AE1" s="497"/>
      <c r="AF1" s="497"/>
      <c r="AG1" s="497"/>
      <c r="AH1" s="497"/>
      <c r="AI1" s="497"/>
      <c r="AJ1" s="497"/>
      <c r="AK1" s="497"/>
      <c r="AL1" s="497"/>
      <c r="AM1" s="497"/>
      <c r="AN1" s="497"/>
      <c r="AO1" s="497"/>
      <c r="AP1" s="497"/>
    </row>
    <row r="2" spans="1:48" ht="38.25">
      <c r="A2" s="503"/>
      <c r="B2" s="17" t="s">
        <v>124</v>
      </c>
      <c r="C2" s="17" t="s">
        <v>125</v>
      </c>
      <c r="D2" s="499"/>
      <c r="E2" s="499"/>
      <c r="F2" s="502" t="s">
        <v>201</v>
      </c>
      <c r="G2" s="502" t="s">
        <v>2</v>
      </c>
      <c r="H2" s="499"/>
      <c r="I2" s="499"/>
      <c r="J2" s="499"/>
      <c r="K2" s="499"/>
      <c r="L2" s="499"/>
      <c r="M2" s="496" t="s">
        <v>202</v>
      </c>
      <c r="N2" s="497"/>
      <c r="O2" s="497"/>
      <c r="P2" s="497"/>
      <c r="Q2" s="497"/>
      <c r="R2" s="497"/>
      <c r="S2" s="496" t="s">
        <v>203</v>
      </c>
      <c r="T2" s="497"/>
      <c r="U2" s="497"/>
      <c r="V2" s="497"/>
      <c r="W2" s="497"/>
      <c r="X2" s="497"/>
      <c r="Y2" s="496" t="s">
        <v>132</v>
      </c>
      <c r="Z2" s="497"/>
      <c r="AA2" s="497"/>
      <c r="AB2" s="497"/>
      <c r="AC2" s="497"/>
      <c r="AD2" s="497"/>
      <c r="AE2" s="496" t="s">
        <v>133</v>
      </c>
      <c r="AF2" s="497"/>
      <c r="AG2" s="497"/>
      <c r="AH2" s="497"/>
      <c r="AI2" s="497"/>
      <c r="AJ2" s="497"/>
      <c r="AK2" s="496" t="s">
        <v>140</v>
      </c>
      <c r="AL2" s="496"/>
      <c r="AM2" s="496"/>
      <c r="AN2" s="496"/>
      <c r="AO2" s="496"/>
      <c r="AP2" s="496"/>
      <c r="AQ2" s="492" t="s">
        <v>447</v>
      </c>
      <c r="AR2" s="493"/>
      <c r="AS2" s="493"/>
      <c r="AT2" s="493"/>
      <c r="AU2" s="493"/>
      <c r="AV2" s="494"/>
    </row>
    <row r="3" spans="1:48" ht="15.75" customHeight="1">
      <c r="A3" s="503"/>
      <c r="B3" s="17"/>
      <c r="C3" s="17"/>
      <c r="D3" s="499"/>
      <c r="E3" s="499"/>
      <c r="F3" s="502"/>
      <c r="G3" s="502"/>
      <c r="H3" s="499"/>
      <c r="I3" s="499"/>
      <c r="J3" s="499"/>
      <c r="K3" s="499"/>
      <c r="L3" s="499"/>
      <c r="M3" s="94" t="s">
        <v>123</v>
      </c>
      <c r="N3" s="94" t="s">
        <v>204</v>
      </c>
      <c r="O3" s="94" t="s">
        <v>205</v>
      </c>
      <c r="P3" s="94" t="s">
        <v>137</v>
      </c>
      <c r="Q3" s="94" t="s">
        <v>138</v>
      </c>
      <c r="R3" s="94" t="s">
        <v>139</v>
      </c>
      <c r="S3" s="94" t="s">
        <v>123</v>
      </c>
      <c r="T3" s="94" t="s">
        <v>135</v>
      </c>
      <c r="U3" s="94" t="s">
        <v>206</v>
      </c>
      <c r="V3" s="94" t="s">
        <v>137</v>
      </c>
      <c r="W3" s="94" t="s">
        <v>138</v>
      </c>
      <c r="X3" s="94" t="s">
        <v>139</v>
      </c>
      <c r="Y3" s="94" t="s">
        <v>123</v>
      </c>
      <c r="Z3" s="94" t="s">
        <v>204</v>
      </c>
      <c r="AA3" s="94" t="s">
        <v>205</v>
      </c>
      <c r="AB3" s="94" t="s">
        <v>137</v>
      </c>
      <c r="AC3" s="94" t="s">
        <v>138</v>
      </c>
      <c r="AD3" s="94" t="s">
        <v>139</v>
      </c>
      <c r="AE3" s="94" t="s">
        <v>123</v>
      </c>
      <c r="AF3" s="94" t="s">
        <v>204</v>
      </c>
      <c r="AG3" s="94" t="s">
        <v>206</v>
      </c>
      <c r="AH3" s="94" t="s">
        <v>137</v>
      </c>
      <c r="AI3" s="94" t="s">
        <v>138</v>
      </c>
      <c r="AJ3" s="94" t="s">
        <v>139</v>
      </c>
      <c r="AK3" s="94" t="s">
        <v>123</v>
      </c>
      <c r="AL3" s="94" t="s">
        <v>135</v>
      </c>
      <c r="AM3" s="94" t="s">
        <v>206</v>
      </c>
      <c r="AN3" s="94" t="s">
        <v>137</v>
      </c>
      <c r="AO3" s="94" t="s">
        <v>138</v>
      </c>
      <c r="AP3" s="94" t="s">
        <v>140</v>
      </c>
      <c r="AQ3" s="233" t="s">
        <v>123</v>
      </c>
      <c r="AR3" s="234" t="s">
        <v>135</v>
      </c>
      <c r="AS3" s="234" t="s">
        <v>136</v>
      </c>
      <c r="AT3" s="234" t="s">
        <v>137</v>
      </c>
      <c r="AU3" s="234" t="s">
        <v>138</v>
      </c>
      <c r="AV3" s="235" t="s">
        <v>140</v>
      </c>
    </row>
    <row r="4" spans="1:48" ht="15.75">
      <c r="A4" s="19"/>
      <c r="B4" s="17" t="s">
        <v>6</v>
      </c>
      <c r="C4" s="17" t="s">
        <v>7</v>
      </c>
      <c r="D4" s="17" t="s">
        <v>15</v>
      </c>
      <c r="E4" s="124" t="s">
        <v>207</v>
      </c>
      <c r="F4" s="17" t="s">
        <v>9</v>
      </c>
      <c r="G4" s="17" t="s">
        <v>10</v>
      </c>
      <c r="H4" s="17" t="s">
        <v>11</v>
      </c>
      <c r="I4" s="17" t="s">
        <v>12</v>
      </c>
      <c r="J4" s="17"/>
      <c r="K4" s="94" t="s">
        <v>13</v>
      </c>
      <c r="L4" s="94" t="s">
        <v>14</v>
      </c>
      <c r="M4" s="94" t="s">
        <v>208</v>
      </c>
      <c r="N4" s="94" t="s">
        <v>209</v>
      </c>
      <c r="O4" s="94" t="s">
        <v>210</v>
      </c>
      <c r="P4" s="94" t="s">
        <v>211</v>
      </c>
      <c r="Q4" s="94" t="s">
        <v>212</v>
      </c>
      <c r="R4" s="94" t="s">
        <v>213</v>
      </c>
      <c r="S4" s="94" t="s">
        <v>214</v>
      </c>
      <c r="T4" s="94" t="s">
        <v>215</v>
      </c>
      <c r="U4" s="94" t="s">
        <v>216</v>
      </c>
      <c r="V4" s="94" t="s">
        <v>217</v>
      </c>
      <c r="W4" s="94" t="s">
        <v>218</v>
      </c>
      <c r="X4" s="94" t="s">
        <v>219</v>
      </c>
      <c r="Y4" s="94" t="s">
        <v>220</v>
      </c>
      <c r="Z4" s="94" t="s">
        <v>221</v>
      </c>
      <c r="AA4" s="94" t="s">
        <v>222</v>
      </c>
      <c r="AB4" s="94" t="s">
        <v>223</v>
      </c>
      <c r="AC4" s="94" t="s">
        <v>224</v>
      </c>
      <c r="AD4" s="94" t="s">
        <v>225</v>
      </c>
      <c r="AE4" s="94" t="s">
        <v>226</v>
      </c>
      <c r="AF4" s="94" t="s">
        <v>227</v>
      </c>
      <c r="AG4" s="94" t="s">
        <v>228</v>
      </c>
      <c r="AH4" s="94" t="s">
        <v>229</v>
      </c>
      <c r="AI4" s="94" t="s">
        <v>230</v>
      </c>
      <c r="AJ4" s="94" t="s">
        <v>231</v>
      </c>
      <c r="AK4" s="17" t="s">
        <v>232</v>
      </c>
      <c r="AL4" s="17" t="s">
        <v>233</v>
      </c>
      <c r="AM4" s="17" t="s">
        <v>234</v>
      </c>
      <c r="AN4" s="17" t="s">
        <v>235</v>
      </c>
      <c r="AO4" s="17" t="s">
        <v>236</v>
      </c>
      <c r="AP4" s="17" t="s">
        <v>237</v>
      </c>
      <c r="AQ4" s="236" t="s">
        <v>231</v>
      </c>
      <c r="AR4" s="237" t="s">
        <v>231</v>
      </c>
      <c r="AS4" s="237" t="s">
        <v>231</v>
      </c>
      <c r="AT4" s="237" t="s">
        <v>231</v>
      </c>
      <c r="AU4" s="237" t="s">
        <v>231</v>
      </c>
      <c r="AV4" s="238" t="s">
        <v>231</v>
      </c>
    </row>
    <row r="5" spans="1:48" ht="25.5">
      <c r="A5" s="125" t="s">
        <v>238</v>
      </c>
      <c r="B5" s="4"/>
      <c r="C5" s="4"/>
      <c r="D5" s="21"/>
      <c r="E5" s="21"/>
      <c r="F5" s="21"/>
      <c r="G5" s="10"/>
      <c r="H5" s="10"/>
      <c r="I5" s="10"/>
      <c r="J5" s="10"/>
      <c r="K5" s="10"/>
      <c r="L5" s="10"/>
      <c r="M5" s="11"/>
      <c r="N5" s="11"/>
      <c r="O5" s="11"/>
      <c r="P5" s="11"/>
      <c r="Q5" s="11"/>
      <c r="R5" s="37"/>
      <c r="S5" s="11"/>
      <c r="T5" s="11"/>
      <c r="U5" s="11"/>
      <c r="V5" s="11"/>
      <c r="W5" s="11"/>
      <c r="X5" s="37"/>
      <c r="Y5" s="37"/>
      <c r="Z5" s="37"/>
      <c r="AA5" s="37"/>
      <c r="AB5" s="37"/>
      <c r="AC5" s="37"/>
      <c r="AD5" s="37"/>
      <c r="AE5" s="11"/>
      <c r="AF5" s="11"/>
      <c r="AG5" s="11"/>
      <c r="AH5" s="11"/>
      <c r="AI5" s="11"/>
      <c r="AJ5" s="37"/>
      <c r="AK5" s="11"/>
      <c r="AL5" s="11"/>
      <c r="AM5" s="11"/>
      <c r="AN5" s="11"/>
      <c r="AO5" s="11"/>
      <c r="AP5" s="37"/>
    </row>
    <row r="6" spans="1:48" ht="25.5">
      <c r="A6" s="126" t="s">
        <v>239</v>
      </c>
      <c r="B6" s="4"/>
      <c r="C6" s="4"/>
      <c r="D6" s="21"/>
      <c r="E6" s="21"/>
      <c r="F6" s="21"/>
      <c r="G6" s="10"/>
      <c r="H6" s="10"/>
      <c r="I6" s="10"/>
      <c r="J6" s="10"/>
      <c r="K6" s="10"/>
      <c r="L6" s="10"/>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row>
    <row r="7" spans="1:48" ht="27.75" customHeight="1">
      <c r="A7" s="127" t="s">
        <v>195</v>
      </c>
      <c r="B7" s="29"/>
      <c r="C7" s="29"/>
      <c r="D7" s="45"/>
      <c r="E7" s="45"/>
      <c r="F7" s="45"/>
      <c r="G7" s="26"/>
      <c r="H7" s="26"/>
      <c r="I7" s="26"/>
      <c r="J7" s="26"/>
      <c r="K7" s="26"/>
      <c r="L7" s="2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row>
    <row r="8" spans="1:48" ht="25.5">
      <c r="A8" s="126" t="s">
        <v>186</v>
      </c>
      <c r="B8" s="4"/>
      <c r="C8" s="4"/>
      <c r="D8" s="21"/>
      <c r="E8" s="21"/>
      <c r="F8" s="21"/>
      <c r="G8" s="10"/>
      <c r="H8" s="10"/>
      <c r="I8" s="10"/>
      <c r="J8" s="10"/>
      <c r="K8" s="10"/>
      <c r="L8" s="10"/>
      <c r="M8" s="11"/>
      <c r="N8" s="11"/>
      <c r="O8" s="11"/>
      <c r="P8" s="11"/>
      <c r="Q8" s="11"/>
      <c r="R8" s="39">
        <f t="shared" ref="R8:R45" si="0">SUM(M8:Q8)</f>
        <v>0</v>
      </c>
      <c r="S8" s="11"/>
      <c r="T8" s="11"/>
      <c r="U8" s="11"/>
      <c r="V8" s="11"/>
      <c r="W8" s="11"/>
      <c r="X8" s="39">
        <f t="shared" ref="X8:X46" si="1">SUM(S8:W8)</f>
        <v>0</v>
      </c>
      <c r="Y8" s="11"/>
      <c r="Z8" s="11"/>
      <c r="AA8" s="11"/>
      <c r="AB8" s="11"/>
      <c r="AC8" s="11"/>
      <c r="AD8" s="39">
        <f t="shared" ref="AD8:AD46" si="2">SUM(Y8:AC8)</f>
        <v>0</v>
      </c>
      <c r="AE8" s="11"/>
      <c r="AF8" s="11"/>
      <c r="AG8" s="11"/>
      <c r="AH8" s="11"/>
      <c r="AI8" s="11"/>
      <c r="AJ8" s="39">
        <f t="shared" ref="AJ8:AJ46" si="3">SUM(AE8:AI8)</f>
        <v>0</v>
      </c>
      <c r="AK8" s="39">
        <f>M8+S8+Y8+AE8</f>
        <v>0</v>
      </c>
      <c r="AL8" s="39">
        <f>N8+T8+Z8+AF8</f>
        <v>0</v>
      </c>
      <c r="AM8" s="39">
        <f>O8+U8+AA8+AG8</f>
        <v>0</v>
      </c>
      <c r="AN8" s="39">
        <f>P8+V8+AB8+AH8</f>
        <v>0</v>
      </c>
      <c r="AO8" s="39">
        <f>Q8+W8+AC8+AI8</f>
        <v>0</v>
      </c>
      <c r="AP8" s="39">
        <f t="shared" ref="AP8:AP46" si="4">SUM(AK8:AO8)</f>
        <v>0</v>
      </c>
    </row>
    <row r="9" spans="1:48">
      <c r="A9" s="10"/>
      <c r="B9" s="4"/>
      <c r="C9" s="4"/>
      <c r="D9" s="10"/>
      <c r="E9" s="10"/>
      <c r="F9" s="10"/>
      <c r="G9" s="10"/>
      <c r="H9" s="10"/>
      <c r="I9" s="10"/>
      <c r="J9" s="10"/>
      <c r="K9" s="10"/>
      <c r="L9" s="10"/>
      <c r="M9" s="11"/>
      <c r="N9" s="11"/>
      <c r="O9" s="11"/>
      <c r="P9" s="11"/>
      <c r="Q9" s="11"/>
      <c r="R9" s="39">
        <f t="shared" si="0"/>
        <v>0</v>
      </c>
      <c r="S9" s="11"/>
      <c r="T9" s="11"/>
      <c r="U9" s="11"/>
      <c r="V9" s="11"/>
      <c r="W9" s="11"/>
      <c r="X9" s="39">
        <f t="shared" si="1"/>
        <v>0</v>
      </c>
      <c r="Y9" s="11"/>
      <c r="Z9" s="11"/>
      <c r="AA9" s="11"/>
      <c r="AB9" s="11"/>
      <c r="AC9" s="11"/>
      <c r="AD9" s="39">
        <f t="shared" si="2"/>
        <v>0</v>
      </c>
      <c r="AE9" s="11"/>
      <c r="AF9" s="11"/>
      <c r="AG9" s="11"/>
      <c r="AH9" s="11"/>
      <c r="AI9" s="11"/>
      <c r="AJ9" s="39">
        <f t="shared" si="3"/>
        <v>0</v>
      </c>
      <c r="AK9" s="39">
        <f t="shared" ref="AK9:AK45" si="5">M9+S9+Y9+AE9</f>
        <v>0</v>
      </c>
      <c r="AL9" s="39">
        <f t="shared" ref="AL9:AL45" si="6">N9+T9+Z9+AF9</f>
        <v>0</v>
      </c>
      <c r="AM9" s="39">
        <f t="shared" ref="AM9:AM45" si="7">O9+U9+AA9+AG9</f>
        <v>0</v>
      </c>
      <c r="AN9" s="39">
        <f t="shared" ref="AN9:AN45" si="8">P9+V9+AB9+AH9</f>
        <v>0</v>
      </c>
      <c r="AO9" s="39">
        <f t="shared" ref="AO9:AO45" si="9">Q9+W9+AC9+AI9</f>
        <v>0</v>
      </c>
      <c r="AP9" s="39">
        <f t="shared" si="4"/>
        <v>0</v>
      </c>
    </row>
    <row r="10" spans="1:48" ht="25.5">
      <c r="A10" s="126" t="s">
        <v>161</v>
      </c>
      <c r="B10" s="4"/>
      <c r="C10" s="4"/>
      <c r="D10" s="10"/>
      <c r="E10" s="10"/>
      <c r="F10" s="10"/>
      <c r="G10" s="10"/>
      <c r="H10" s="10"/>
      <c r="I10" s="10"/>
      <c r="J10" s="10"/>
      <c r="K10" s="10"/>
      <c r="L10" s="10"/>
      <c r="M10" s="11"/>
      <c r="N10" s="11"/>
      <c r="O10" s="11"/>
      <c r="P10" s="11"/>
      <c r="Q10" s="11"/>
      <c r="R10" s="39">
        <f t="shared" si="0"/>
        <v>0</v>
      </c>
      <c r="S10" s="11"/>
      <c r="T10" s="11"/>
      <c r="U10" s="11"/>
      <c r="V10" s="11"/>
      <c r="W10" s="11"/>
      <c r="X10" s="39">
        <f t="shared" si="1"/>
        <v>0</v>
      </c>
      <c r="Y10" s="11"/>
      <c r="Z10" s="11"/>
      <c r="AA10" s="11"/>
      <c r="AB10" s="11"/>
      <c r="AC10" s="11"/>
      <c r="AD10" s="39">
        <f t="shared" si="2"/>
        <v>0</v>
      </c>
      <c r="AE10" s="11"/>
      <c r="AF10" s="11"/>
      <c r="AG10" s="11"/>
      <c r="AH10" s="11"/>
      <c r="AI10" s="11"/>
      <c r="AJ10" s="39">
        <f t="shared" si="3"/>
        <v>0</v>
      </c>
      <c r="AK10" s="39">
        <f t="shared" si="5"/>
        <v>0</v>
      </c>
      <c r="AL10" s="39">
        <f t="shared" si="6"/>
        <v>0</v>
      </c>
      <c r="AM10" s="39">
        <f t="shared" si="7"/>
        <v>0</v>
      </c>
      <c r="AN10" s="39">
        <f t="shared" si="8"/>
        <v>0</v>
      </c>
      <c r="AO10" s="39">
        <f t="shared" si="9"/>
        <v>0</v>
      </c>
      <c r="AP10" s="39">
        <f t="shared" si="4"/>
        <v>0</v>
      </c>
    </row>
    <row r="11" spans="1:48" ht="25.5">
      <c r="A11" s="128" t="s">
        <v>162</v>
      </c>
      <c r="B11" s="4"/>
      <c r="C11" s="4"/>
      <c r="D11" s="10"/>
      <c r="E11" s="10"/>
      <c r="F11" s="10"/>
      <c r="G11" s="10"/>
      <c r="H11" s="10"/>
      <c r="I11" s="10"/>
      <c r="J11" s="10"/>
      <c r="K11" s="10"/>
      <c r="L11" s="10"/>
      <c r="M11" s="11"/>
      <c r="N11" s="11"/>
      <c r="O11" s="11"/>
      <c r="P11" s="11"/>
      <c r="Q11" s="11"/>
      <c r="R11" s="39">
        <f t="shared" si="0"/>
        <v>0</v>
      </c>
      <c r="S11" s="11"/>
      <c r="T11" s="11"/>
      <c r="U11" s="11"/>
      <c r="V11" s="11"/>
      <c r="W11" s="11"/>
      <c r="X11" s="39">
        <f t="shared" si="1"/>
        <v>0</v>
      </c>
      <c r="Y11" s="11"/>
      <c r="Z11" s="11"/>
      <c r="AA11" s="11"/>
      <c r="AB11" s="11"/>
      <c r="AC11" s="11"/>
      <c r="AD11" s="39">
        <f t="shared" si="2"/>
        <v>0</v>
      </c>
      <c r="AE11" s="11"/>
      <c r="AF11" s="11"/>
      <c r="AG11" s="11"/>
      <c r="AH11" s="11"/>
      <c r="AI11" s="11"/>
      <c r="AJ11" s="39">
        <f t="shared" si="3"/>
        <v>0</v>
      </c>
      <c r="AK11" s="39">
        <f t="shared" si="5"/>
        <v>0</v>
      </c>
      <c r="AL11" s="39">
        <f t="shared" si="6"/>
        <v>0</v>
      </c>
      <c r="AM11" s="39">
        <f t="shared" si="7"/>
        <v>0</v>
      </c>
      <c r="AN11" s="39">
        <f t="shared" si="8"/>
        <v>0</v>
      </c>
      <c r="AO11" s="39">
        <f t="shared" si="9"/>
        <v>0</v>
      </c>
      <c r="AP11" s="39">
        <f t="shared" si="4"/>
        <v>0</v>
      </c>
    </row>
    <row r="12" spans="1:48" ht="25.5">
      <c r="A12" s="6" t="s">
        <v>163</v>
      </c>
      <c r="B12" s="4">
        <v>2</v>
      </c>
      <c r="C12" s="4">
        <v>95</v>
      </c>
      <c r="D12" s="4" t="s">
        <v>164</v>
      </c>
      <c r="E12" s="10" t="s">
        <v>240</v>
      </c>
      <c r="F12" s="4" t="s">
        <v>18</v>
      </c>
      <c r="G12" s="10"/>
      <c r="H12" s="4" t="s">
        <v>165</v>
      </c>
      <c r="I12" s="4" t="s">
        <v>182</v>
      </c>
      <c r="J12" s="4"/>
      <c r="K12" s="10"/>
      <c r="L12" s="38"/>
      <c r="M12" s="39">
        <v>12612283</v>
      </c>
      <c r="N12" s="39"/>
      <c r="O12" s="39"/>
      <c r="P12" s="39"/>
      <c r="Q12" s="39"/>
      <c r="R12" s="39">
        <f t="shared" si="0"/>
        <v>12612283</v>
      </c>
      <c r="S12" s="39">
        <v>26349378</v>
      </c>
      <c r="T12" s="39"/>
      <c r="U12" s="39"/>
      <c r="V12" s="39"/>
      <c r="W12" s="39"/>
      <c r="X12" s="39">
        <f t="shared" si="1"/>
        <v>26349378</v>
      </c>
      <c r="Y12" s="39">
        <v>38900000</v>
      </c>
      <c r="Z12" s="39"/>
      <c r="AA12" s="39"/>
      <c r="AB12" s="39"/>
      <c r="AC12" s="39"/>
      <c r="AD12" s="39">
        <f t="shared" si="2"/>
        <v>38900000</v>
      </c>
      <c r="AE12" s="39">
        <v>38900000</v>
      </c>
      <c r="AF12" s="39"/>
      <c r="AG12" s="39"/>
      <c r="AH12" s="39"/>
      <c r="AI12" s="39"/>
      <c r="AJ12" s="39">
        <f t="shared" si="3"/>
        <v>38900000</v>
      </c>
      <c r="AK12" s="39">
        <f t="shared" si="5"/>
        <v>116761661</v>
      </c>
      <c r="AL12" s="39">
        <f t="shared" si="6"/>
        <v>0</v>
      </c>
      <c r="AM12" s="39">
        <f t="shared" si="7"/>
        <v>0</v>
      </c>
      <c r="AN12" s="39">
        <f t="shared" si="8"/>
        <v>0</v>
      </c>
      <c r="AO12" s="39">
        <f t="shared" si="9"/>
        <v>0</v>
      </c>
      <c r="AP12" s="39">
        <f t="shared" si="4"/>
        <v>116761661</v>
      </c>
    </row>
    <row r="13" spans="1:48">
      <c r="A13" s="6"/>
      <c r="B13" s="4"/>
      <c r="C13" s="4"/>
      <c r="D13" s="10"/>
      <c r="E13" s="10"/>
      <c r="F13" s="10"/>
      <c r="G13" s="10"/>
      <c r="H13" s="10"/>
      <c r="I13" s="10"/>
      <c r="J13" s="10"/>
      <c r="K13" s="10"/>
      <c r="L13" s="38"/>
      <c r="M13" s="39"/>
      <c r="N13" s="39"/>
      <c r="O13" s="39"/>
      <c r="P13" s="39"/>
      <c r="Q13" s="39"/>
      <c r="R13" s="39">
        <f t="shared" si="0"/>
        <v>0</v>
      </c>
      <c r="S13" s="39"/>
      <c r="T13" s="39"/>
      <c r="U13" s="39"/>
      <c r="V13" s="39"/>
      <c r="W13" s="39"/>
      <c r="X13" s="39">
        <f t="shared" si="1"/>
        <v>0</v>
      </c>
      <c r="Y13" s="39"/>
      <c r="Z13" s="39"/>
      <c r="AA13" s="39"/>
      <c r="AB13" s="39"/>
      <c r="AC13" s="39"/>
      <c r="AD13" s="39">
        <f t="shared" si="2"/>
        <v>0</v>
      </c>
      <c r="AE13" s="39"/>
      <c r="AF13" s="39"/>
      <c r="AG13" s="39"/>
      <c r="AH13" s="39"/>
      <c r="AI13" s="39"/>
      <c r="AJ13" s="39">
        <f t="shared" si="3"/>
        <v>0</v>
      </c>
      <c r="AK13" s="39">
        <f t="shared" si="5"/>
        <v>0</v>
      </c>
      <c r="AL13" s="39">
        <f t="shared" si="6"/>
        <v>0</v>
      </c>
      <c r="AM13" s="39">
        <f t="shared" si="7"/>
        <v>0</v>
      </c>
      <c r="AN13" s="39">
        <f t="shared" si="8"/>
        <v>0</v>
      </c>
      <c r="AO13" s="39">
        <f t="shared" si="9"/>
        <v>0</v>
      </c>
      <c r="AP13" s="39">
        <f t="shared" si="4"/>
        <v>0</v>
      </c>
    </row>
    <row r="14" spans="1:48" ht="38.25">
      <c r="A14" s="129" t="s">
        <v>166</v>
      </c>
      <c r="B14" s="4"/>
      <c r="C14" s="4"/>
      <c r="D14" s="10"/>
      <c r="E14" s="10"/>
      <c r="F14" s="10"/>
      <c r="G14" s="10"/>
      <c r="H14" s="10"/>
      <c r="I14" s="10"/>
      <c r="J14" s="10"/>
      <c r="K14" s="10"/>
      <c r="L14" s="38"/>
      <c r="M14" s="39"/>
      <c r="N14" s="39"/>
      <c r="O14" s="39"/>
      <c r="P14" s="39"/>
      <c r="Q14" s="39"/>
      <c r="R14" s="39">
        <f t="shared" si="0"/>
        <v>0</v>
      </c>
      <c r="S14" s="39"/>
      <c r="T14" s="39"/>
      <c r="U14" s="39"/>
      <c r="V14" s="39"/>
      <c r="W14" s="39"/>
      <c r="X14" s="39">
        <f t="shared" si="1"/>
        <v>0</v>
      </c>
      <c r="Y14" s="39"/>
      <c r="Z14" s="39"/>
      <c r="AA14" s="39"/>
      <c r="AB14" s="39"/>
      <c r="AC14" s="39"/>
      <c r="AD14" s="39">
        <f t="shared" si="2"/>
        <v>0</v>
      </c>
      <c r="AE14" s="39"/>
      <c r="AF14" s="39"/>
      <c r="AG14" s="39"/>
      <c r="AH14" s="39"/>
      <c r="AI14" s="39"/>
      <c r="AJ14" s="39">
        <f t="shared" si="3"/>
        <v>0</v>
      </c>
      <c r="AK14" s="39">
        <f t="shared" si="5"/>
        <v>0</v>
      </c>
      <c r="AL14" s="39">
        <f t="shared" si="6"/>
        <v>0</v>
      </c>
      <c r="AM14" s="39">
        <f t="shared" si="7"/>
        <v>0</v>
      </c>
      <c r="AN14" s="39">
        <f t="shared" si="8"/>
        <v>0</v>
      </c>
      <c r="AO14" s="39">
        <f t="shared" si="9"/>
        <v>0</v>
      </c>
      <c r="AP14" s="39">
        <f t="shared" si="4"/>
        <v>0</v>
      </c>
    </row>
    <row r="15" spans="1:48" ht="25.5">
      <c r="A15" s="130" t="s">
        <v>167</v>
      </c>
      <c r="B15" s="4"/>
      <c r="C15" s="4"/>
      <c r="D15" s="10"/>
      <c r="E15" s="10"/>
      <c r="F15" s="10"/>
      <c r="G15" s="10"/>
      <c r="H15" s="10"/>
      <c r="I15" s="10"/>
      <c r="J15" s="10"/>
      <c r="K15" s="10"/>
      <c r="L15" s="38"/>
      <c r="M15" s="39"/>
      <c r="N15" s="39"/>
      <c r="O15" s="39"/>
      <c r="P15" s="39"/>
      <c r="Q15" s="39"/>
      <c r="R15" s="39">
        <f t="shared" si="0"/>
        <v>0</v>
      </c>
      <c r="S15" s="39"/>
      <c r="T15" s="39"/>
      <c r="U15" s="39"/>
      <c r="V15" s="39"/>
      <c r="W15" s="39"/>
      <c r="X15" s="39">
        <f t="shared" si="1"/>
        <v>0</v>
      </c>
      <c r="Y15" s="39"/>
      <c r="Z15" s="39"/>
      <c r="AA15" s="39"/>
      <c r="AB15" s="39"/>
      <c r="AC15" s="39"/>
      <c r="AD15" s="39">
        <f t="shared" si="2"/>
        <v>0</v>
      </c>
      <c r="AE15" s="39"/>
      <c r="AF15" s="39"/>
      <c r="AG15" s="39"/>
      <c r="AH15" s="39"/>
      <c r="AI15" s="39"/>
      <c r="AJ15" s="39">
        <f t="shared" si="3"/>
        <v>0</v>
      </c>
      <c r="AK15" s="39">
        <f t="shared" si="5"/>
        <v>0</v>
      </c>
      <c r="AL15" s="39">
        <f t="shared" si="6"/>
        <v>0</v>
      </c>
      <c r="AM15" s="39">
        <f t="shared" si="7"/>
        <v>0</v>
      </c>
      <c r="AN15" s="39">
        <f t="shared" si="8"/>
        <v>0</v>
      </c>
      <c r="AO15" s="39">
        <f t="shared" si="9"/>
        <v>0</v>
      </c>
      <c r="AP15" s="39">
        <f t="shared" si="4"/>
        <v>0</v>
      </c>
    </row>
    <row r="16" spans="1:48" ht="25.5">
      <c r="A16" s="23" t="s">
        <v>168</v>
      </c>
      <c r="B16" s="4">
        <v>11</v>
      </c>
      <c r="C16" s="4">
        <v>80</v>
      </c>
      <c r="D16" s="4" t="s">
        <v>164</v>
      </c>
      <c r="E16" s="10" t="s">
        <v>169</v>
      </c>
      <c r="F16" s="4" t="s">
        <v>18</v>
      </c>
      <c r="G16" s="10"/>
      <c r="H16" s="4" t="s">
        <v>165</v>
      </c>
      <c r="I16" s="4" t="s">
        <v>182</v>
      </c>
      <c r="J16" s="4"/>
      <c r="K16" s="10"/>
      <c r="L16" s="38"/>
      <c r="M16" s="39">
        <v>9826062</v>
      </c>
      <c r="N16" s="39"/>
      <c r="O16" s="39"/>
      <c r="P16" s="39"/>
      <c r="Q16" s="39"/>
      <c r="R16" s="39">
        <f t="shared" si="0"/>
        <v>9826062</v>
      </c>
      <c r="S16" s="39">
        <v>14900000</v>
      </c>
      <c r="T16" s="39"/>
      <c r="U16" s="39"/>
      <c r="V16" s="39"/>
      <c r="W16" s="39"/>
      <c r="X16" s="39">
        <f t="shared" si="1"/>
        <v>14900000</v>
      </c>
      <c r="Y16" s="39">
        <v>15400000</v>
      </c>
      <c r="Z16" s="39"/>
      <c r="AA16" s="39"/>
      <c r="AB16" s="39"/>
      <c r="AC16" s="39"/>
      <c r="AD16" s="39">
        <f t="shared" si="2"/>
        <v>15400000</v>
      </c>
      <c r="AE16" s="39">
        <v>15900000</v>
      </c>
      <c r="AF16" s="39"/>
      <c r="AG16" s="39"/>
      <c r="AH16" s="39"/>
      <c r="AI16" s="39"/>
      <c r="AJ16" s="39">
        <f t="shared" si="3"/>
        <v>15900000</v>
      </c>
      <c r="AK16" s="39">
        <f t="shared" si="5"/>
        <v>56026062</v>
      </c>
      <c r="AL16" s="39">
        <f t="shared" si="6"/>
        <v>0</v>
      </c>
      <c r="AM16" s="39">
        <f t="shared" si="7"/>
        <v>0</v>
      </c>
      <c r="AN16" s="39">
        <f t="shared" si="8"/>
        <v>0</v>
      </c>
      <c r="AO16" s="39">
        <f t="shared" si="9"/>
        <v>0</v>
      </c>
      <c r="AP16" s="39">
        <f t="shared" si="4"/>
        <v>56026062</v>
      </c>
    </row>
    <row r="17" spans="1:42">
      <c r="A17" s="6"/>
      <c r="B17" s="4"/>
      <c r="C17" s="4"/>
      <c r="D17" s="10"/>
      <c r="E17" s="10"/>
      <c r="F17" s="10"/>
      <c r="G17" s="10"/>
      <c r="H17" s="10"/>
      <c r="I17" s="10"/>
      <c r="J17" s="10"/>
      <c r="K17" s="10"/>
      <c r="L17" s="38"/>
      <c r="M17" s="39"/>
      <c r="N17" s="39"/>
      <c r="O17" s="39"/>
      <c r="P17" s="39"/>
      <c r="Q17" s="39"/>
      <c r="R17" s="39">
        <f t="shared" si="0"/>
        <v>0</v>
      </c>
      <c r="S17" s="39"/>
      <c r="T17" s="39"/>
      <c r="U17" s="39"/>
      <c r="V17" s="39"/>
      <c r="W17" s="39"/>
      <c r="X17" s="39">
        <f t="shared" si="1"/>
        <v>0</v>
      </c>
      <c r="Y17" s="39"/>
      <c r="Z17" s="39"/>
      <c r="AA17" s="39"/>
      <c r="AB17" s="39"/>
      <c r="AC17" s="39"/>
      <c r="AD17" s="39">
        <f t="shared" si="2"/>
        <v>0</v>
      </c>
      <c r="AE17" s="39"/>
      <c r="AF17" s="39"/>
      <c r="AG17" s="39"/>
      <c r="AH17" s="39"/>
      <c r="AI17" s="39"/>
      <c r="AJ17" s="39">
        <f t="shared" si="3"/>
        <v>0</v>
      </c>
      <c r="AK17" s="39">
        <f t="shared" si="5"/>
        <v>0</v>
      </c>
      <c r="AL17" s="39">
        <f t="shared" si="6"/>
        <v>0</v>
      </c>
      <c r="AM17" s="39">
        <f t="shared" si="7"/>
        <v>0</v>
      </c>
      <c r="AN17" s="39">
        <f t="shared" si="8"/>
        <v>0</v>
      </c>
      <c r="AO17" s="39">
        <f t="shared" si="9"/>
        <v>0</v>
      </c>
      <c r="AP17" s="39">
        <f t="shared" si="4"/>
        <v>0</v>
      </c>
    </row>
    <row r="18" spans="1:42" ht="25.5">
      <c r="A18" s="130" t="s">
        <v>170</v>
      </c>
      <c r="B18" s="4"/>
      <c r="C18" s="4"/>
      <c r="D18" s="10"/>
      <c r="E18" s="10"/>
      <c r="F18" s="10"/>
      <c r="G18" s="10"/>
      <c r="H18" s="10"/>
      <c r="I18" s="10"/>
      <c r="J18" s="10"/>
      <c r="K18" s="10"/>
      <c r="L18" s="38"/>
      <c r="M18" s="39"/>
      <c r="N18" s="39"/>
      <c r="O18" s="39"/>
      <c r="P18" s="39"/>
      <c r="Q18" s="39"/>
      <c r="R18" s="39">
        <f t="shared" si="0"/>
        <v>0</v>
      </c>
      <c r="S18" s="39"/>
      <c r="T18" s="39"/>
      <c r="U18" s="39"/>
      <c r="V18" s="39"/>
      <c r="W18" s="39"/>
      <c r="X18" s="39">
        <f t="shared" si="1"/>
        <v>0</v>
      </c>
      <c r="Y18" s="39"/>
      <c r="Z18" s="39"/>
      <c r="AA18" s="39"/>
      <c r="AB18" s="39"/>
      <c r="AC18" s="39"/>
      <c r="AD18" s="39">
        <f t="shared" si="2"/>
        <v>0</v>
      </c>
      <c r="AE18" s="39"/>
      <c r="AF18" s="39"/>
      <c r="AG18" s="39"/>
      <c r="AH18" s="39"/>
      <c r="AI18" s="39"/>
      <c r="AJ18" s="39">
        <f t="shared" si="3"/>
        <v>0</v>
      </c>
      <c r="AK18" s="39">
        <f t="shared" si="5"/>
        <v>0</v>
      </c>
      <c r="AL18" s="39">
        <f t="shared" si="6"/>
        <v>0</v>
      </c>
      <c r="AM18" s="39">
        <f t="shared" si="7"/>
        <v>0</v>
      </c>
      <c r="AN18" s="39">
        <f t="shared" si="8"/>
        <v>0</v>
      </c>
      <c r="AO18" s="39">
        <f t="shared" si="9"/>
        <v>0</v>
      </c>
      <c r="AP18" s="39">
        <f t="shared" si="4"/>
        <v>0</v>
      </c>
    </row>
    <row r="19" spans="1:42" s="272" customFormat="1" ht="25.5">
      <c r="A19" s="56" t="s">
        <v>171</v>
      </c>
      <c r="B19" s="20">
        <v>2</v>
      </c>
      <c r="C19" s="20">
        <v>95</v>
      </c>
      <c r="D19" s="20" t="s">
        <v>164</v>
      </c>
      <c r="E19" s="24" t="s">
        <v>172</v>
      </c>
      <c r="F19" s="20" t="s">
        <v>18</v>
      </c>
      <c r="G19" s="24"/>
      <c r="H19" s="20" t="s">
        <v>165</v>
      </c>
      <c r="I19" s="20" t="s">
        <v>182</v>
      </c>
      <c r="J19" s="20"/>
      <c r="K19" s="24"/>
      <c r="L19" s="270"/>
      <c r="M19" s="271">
        <v>13558065</v>
      </c>
      <c r="N19" s="271"/>
      <c r="O19" s="271"/>
      <c r="P19" s="271"/>
      <c r="Q19" s="271"/>
      <c r="R19" s="271">
        <f t="shared" si="0"/>
        <v>13558065</v>
      </c>
      <c r="S19" s="271">
        <v>17700000</v>
      </c>
      <c r="T19" s="271"/>
      <c r="U19" s="271"/>
      <c r="V19" s="271"/>
      <c r="W19" s="271"/>
      <c r="X19" s="271">
        <f t="shared" si="1"/>
        <v>17700000</v>
      </c>
      <c r="Y19" s="271">
        <f>10600000+34000000</f>
        <v>44600000</v>
      </c>
      <c r="Z19" s="271"/>
      <c r="AA19" s="271"/>
      <c r="AB19" s="271"/>
      <c r="AC19" s="271"/>
      <c r="AD19" s="271">
        <f t="shared" si="2"/>
        <v>44600000</v>
      </c>
      <c r="AE19" s="271">
        <f>7100000+34000000</f>
        <v>41100000</v>
      </c>
      <c r="AF19" s="271"/>
      <c r="AG19" s="271"/>
      <c r="AH19" s="271"/>
      <c r="AI19" s="271"/>
      <c r="AJ19" s="271">
        <f t="shared" si="3"/>
        <v>41100000</v>
      </c>
      <c r="AK19" s="271">
        <f t="shared" si="5"/>
        <v>116958065</v>
      </c>
      <c r="AL19" s="271">
        <f t="shared" si="6"/>
        <v>0</v>
      </c>
      <c r="AM19" s="271">
        <f t="shared" si="7"/>
        <v>0</v>
      </c>
      <c r="AN19" s="271">
        <f t="shared" si="8"/>
        <v>0</v>
      </c>
      <c r="AO19" s="271">
        <f t="shared" si="9"/>
        <v>0</v>
      </c>
      <c r="AP19" s="271">
        <f t="shared" si="4"/>
        <v>116958065</v>
      </c>
    </row>
    <row r="20" spans="1:42">
      <c r="A20" s="6"/>
      <c r="B20" s="4"/>
      <c r="C20" s="4"/>
      <c r="D20" s="10"/>
      <c r="E20" s="10"/>
      <c r="F20" s="10"/>
      <c r="G20" s="10"/>
      <c r="H20" s="10"/>
      <c r="I20" s="10"/>
      <c r="J20" s="10"/>
      <c r="K20" s="10"/>
      <c r="L20" s="38"/>
      <c r="M20" s="39"/>
      <c r="N20" s="39"/>
      <c r="O20" s="39"/>
      <c r="P20" s="39"/>
      <c r="Q20" s="39"/>
      <c r="R20" s="39">
        <f t="shared" si="0"/>
        <v>0</v>
      </c>
      <c r="S20" s="39"/>
      <c r="T20" s="39"/>
      <c r="U20" s="39"/>
      <c r="V20" s="39"/>
      <c r="W20" s="39"/>
      <c r="X20" s="39">
        <f t="shared" si="1"/>
        <v>0</v>
      </c>
      <c r="Y20" s="39"/>
      <c r="Z20" s="39"/>
      <c r="AA20" s="39"/>
      <c r="AB20" s="39"/>
      <c r="AC20" s="39"/>
      <c r="AD20" s="39">
        <f t="shared" si="2"/>
        <v>0</v>
      </c>
      <c r="AE20" s="39"/>
      <c r="AF20" s="39"/>
      <c r="AG20" s="39"/>
      <c r="AH20" s="39"/>
      <c r="AI20" s="39"/>
      <c r="AJ20" s="39">
        <f t="shared" si="3"/>
        <v>0</v>
      </c>
      <c r="AK20" s="39">
        <f t="shared" si="5"/>
        <v>0</v>
      </c>
      <c r="AL20" s="39">
        <f t="shared" si="6"/>
        <v>0</v>
      </c>
      <c r="AM20" s="39">
        <f t="shared" si="7"/>
        <v>0</v>
      </c>
      <c r="AN20" s="39">
        <f t="shared" si="8"/>
        <v>0</v>
      </c>
      <c r="AO20" s="39">
        <f t="shared" si="9"/>
        <v>0</v>
      </c>
      <c r="AP20" s="39">
        <f t="shared" si="4"/>
        <v>0</v>
      </c>
    </row>
    <row r="21" spans="1:42" ht="25.5">
      <c r="A21" s="6" t="s">
        <v>173</v>
      </c>
      <c r="B21" s="4">
        <v>5</v>
      </c>
      <c r="C21" s="4">
        <v>85</v>
      </c>
      <c r="D21" s="4" t="s">
        <v>164</v>
      </c>
      <c r="E21" s="10" t="s">
        <v>174</v>
      </c>
      <c r="F21" s="4" t="s">
        <v>18</v>
      </c>
      <c r="G21" s="10"/>
      <c r="H21" s="4" t="s">
        <v>165</v>
      </c>
      <c r="I21" s="4" t="s">
        <v>182</v>
      </c>
      <c r="J21" s="4"/>
      <c r="K21" s="10"/>
      <c r="L21" s="38"/>
      <c r="M21" s="39">
        <v>1949783</v>
      </c>
      <c r="N21" s="39"/>
      <c r="O21" s="39"/>
      <c r="P21" s="39"/>
      <c r="Q21" s="39"/>
      <c r="R21" s="39">
        <f t="shared" si="0"/>
        <v>1949783</v>
      </c>
      <c r="S21" s="39">
        <v>3623111</v>
      </c>
      <c r="T21" s="39"/>
      <c r="U21" s="39"/>
      <c r="V21" s="39"/>
      <c r="W21" s="39"/>
      <c r="X21" s="39">
        <f t="shared" si="1"/>
        <v>3623111</v>
      </c>
      <c r="Y21" s="39">
        <v>4992075</v>
      </c>
      <c r="Z21" s="39"/>
      <c r="AA21" s="39"/>
      <c r="AB21" s="39"/>
      <c r="AC21" s="39"/>
      <c r="AD21" s="39">
        <f t="shared" si="2"/>
        <v>4992075</v>
      </c>
      <c r="AE21" s="39">
        <v>4992075</v>
      </c>
      <c r="AF21" s="39"/>
      <c r="AG21" s="39"/>
      <c r="AH21" s="39"/>
      <c r="AI21" s="39"/>
      <c r="AJ21" s="39">
        <f t="shared" si="3"/>
        <v>4992075</v>
      </c>
      <c r="AK21" s="39">
        <f t="shared" si="5"/>
        <v>15557044</v>
      </c>
      <c r="AL21" s="39">
        <f t="shared" si="6"/>
        <v>0</v>
      </c>
      <c r="AM21" s="39">
        <f t="shared" si="7"/>
        <v>0</v>
      </c>
      <c r="AN21" s="39">
        <f t="shared" si="8"/>
        <v>0</v>
      </c>
      <c r="AO21" s="39">
        <f t="shared" si="9"/>
        <v>0</v>
      </c>
      <c r="AP21" s="39">
        <f t="shared" si="4"/>
        <v>15557044</v>
      </c>
    </row>
    <row r="22" spans="1:42">
      <c r="A22" s="6"/>
      <c r="B22" s="4"/>
      <c r="C22" s="4"/>
      <c r="D22" s="10"/>
      <c r="E22" s="10"/>
      <c r="F22" s="10"/>
      <c r="G22" s="10"/>
      <c r="H22" s="10"/>
      <c r="I22" s="10"/>
      <c r="J22" s="10"/>
      <c r="K22" s="10"/>
      <c r="L22" s="38"/>
      <c r="M22" s="39"/>
      <c r="N22" s="39"/>
      <c r="O22" s="39"/>
      <c r="P22" s="39"/>
      <c r="Q22" s="39"/>
      <c r="R22" s="39">
        <f t="shared" si="0"/>
        <v>0</v>
      </c>
      <c r="S22" s="39"/>
      <c r="T22" s="39"/>
      <c r="U22" s="39"/>
      <c r="V22" s="39"/>
      <c r="W22" s="39"/>
      <c r="X22" s="39">
        <f t="shared" si="1"/>
        <v>0</v>
      </c>
      <c r="Y22" s="39"/>
      <c r="Z22" s="39"/>
      <c r="AA22" s="39"/>
      <c r="AB22" s="39"/>
      <c r="AC22" s="39"/>
      <c r="AD22" s="39">
        <f t="shared" si="2"/>
        <v>0</v>
      </c>
      <c r="AE22" s="39"/>
      <c r="AF22" s="39"/>
      <c r="AG22" s="39"/>
      <c r="AH22" s="39"/>
      <c r="AI22" s="39"/>
      <c r="AJ22" s="39">
        <f t="shared" si="3"/>
        <v>0</v>
      </c>
      <c r="AK22" s="39">
        <f t="shared" si="5"/>
        <v>0</v>
      </c>
      <c r="AL22" s="39">
        <f t="shared" si="6"/>
        <v>0</v>
      </c>
      <c r="AM22" s="39">
        <f t="shared" si="7"/>
        <v>0</v>
      </c>
      <c r="AN22" s="39">
        <f t="shared" si="8"/>
        <v>0</v>
      </c>
      <c r="AO22" s="39">
        <f t="shared" si="9"/>
        <v>0</v>
      </c>
      <c r="AP22" s="39">
        <f t="shared" si="4"/>
        <v>0</v>
      </c>
    </row>
    <row r="23" spans="1:42" ht="89.25">
      <c r="A23" s="6" t="s">
        <v>446</v>
      </c>
      <c r="B23" s="4">
        <v>5</v>
      </c>
      <c r="C23" s="4">
        <v>85</v>
      </c>
      <c r="D23" s="4" t="s">
        <v>164</v>
      </c>
      <c r="E23" s="10" t="s">
        <v>175</v>
      </c>
      <c r="F23" s="4" t="s">
        <v>18</v>
      </c>
      <c r="G23" s="10"/>
      <c r="H23" s="4" t="s">
        <v>165</v>
      </c>
      <c r="I23" s="4" t="s">
        <v>182</v>
      </c>
      <c r="J23" s="4"/>
      <c r="K23" s="10"/>
      <c r="L23" s="38"/>
      <c r="M23" s="39">
        <v>1021023</v>
      </c>
      <c r="N23" s="39"/>
      <c r="O23" s="39"/>
      <c r="P23" s="39"/>
      <c r="Q23" s="39"/>
      <c r="R23" s="39">
        <f t="shared" si="0"/>
        <v>1021023</v>
      </c>
      <c r="S23" s="39">
        <v>1070182</v>
      </c>
      <c r="T23" s="39"/>
      <c r="U23" s="39"/>
      <c r="V23" s="39"/>
      <c r="W23" s="39"/>
      <c r="X23" s="39">
        <f t="shared" si="1"/>
        <v>1070182</v>
      </c>
      <c r="Y23" s="39">
        <v>1279059</v>
      </c>
      <c r="Z23" s="39"/>
      <c r="AA23" s="39"/>
      <c r="AB23" s="39"/>
      <c r="AC23" s="39"/>
      <c r="AD23" s="39">
        <f t="shared" si="2"/>
        <v>1279059</v>
      </c>
      <c r="AE23" s="39">
        <v>1304640</v>
      </c>
      <c r="AF23" s="39"/>
      <c r="AG23" s="39"/>
      <c r="AH23" s="39"/>
      <c r="AI23" s="39"/>
      <c r="AJ23" s="39">
        <f t="shared" si="3"/>
        <v>1304640</v>
      </c>
      <c r="AK23" s="39">
        <f t="shared" si="5"/>
        <v>4674904</v>
      </c>
      <c r="AL23" s="39">
        <f t="shared" si="6"/>
        <v>0</v>
      </c>
      <c r="AM23" s="39">
        <f t="shared" si="7"/>
        <v>0</v>
      </c>
      <c r="AN23" s="39">
        <f t="shared" si="8"/>
        <v>0</v>
      </c>
      <c r="AO23" s="39">
        <f t="shared" si="9"/>
        <v>0</v>
      </c>
      <c r="AP23" s="39">
        <f t="shared" si="4"/>
        <v>4674904</v>
      </c>
    </row>
    <row r="24" spans="1:42">
      <c r="A24" s="6"/>
      <c r="B24" s="4"/>
      <c r="C24" s="4"/>
      <c r="D24" s="10"/>
      <c r="E24" s="10"/>
      <c r="F24" s="10"/>
      <c r="G24" s="10"/>
      <c r="H24" s="10"/>
      <c r="I24" s="10"/>
      <c r="J24" s="10"/>
      <c r="K24" s="10"/>
      <c r="L24" s="38"/>
      <c r="M24" s="39"/>
      <c r="N24" s="39"/>
      <c r="O24" s="39"/>
      <c r="P24" s="39"/>
      <c r="Q24" s="39"/>
      <c r="R24" s="39">
        <f t="shared" si="0"/>
        <v>0</v>
      </c>
      <c r="S24" s="39"/>
      <c r="T24" s="39"/>
      <c r="U24" s="39"/>
      <c r="V24" s="39"/>
      <c r="W24" s="39"/>
      <c r="X24" s="39">
        <f t="shared" si="1"/>
        <v>0</v>
      </c>
      <c r="Y24" s="39"/>
      <c r="Z24" s="39"/>
      <c r="AA24" s="39"/>
      <c r="AB24" s="39"/>
      <c r="AC24" s="39"/>
      <c r="AD24" s="39">
        <f t="shared" si="2"/>
        <v>0</v>
      </c>
      <c r="AE24" s="39"/>
      <c r="AF24" s="39"/>
      <c r="AG24" s="39"/>
      <c r="AH24" s="39"/>
      <c r="AI24" s="39"/>
      <c r="AJ24" s="39">
        <f t="shared" si="3"/>
        <v>0</v>
      </c>
      <c r="AK24" s="39">
        <f t="shared" si="5"/>
        <v>0</v>
      </c>
      <c r="AL24" s="39">
        <f t="shared" si="6"/>
        <v>0</v>
      </c>
      <c r="AM24" s="39">
        <f t="shared" si="7"/>
        <v>0</v>
      </c>
      <c r="AN24" s="39">
        <f t="shared" si="8"/>
        <v>0</v>
      </c>
      <c r="AO24" s="39">
        <f t="shared" si="9"/>
        <v>0</v>
      </c>
      <c r="AP24" s="39">
        <f t="shared" si="4"/>
        <v>0</v>
      </c>
    </row>
    <row r="25" spans="1:42" ht="51">
      <c r="A25" s="6" t="s">
        <v>241</v>
      </c>
      <c r="B25" s="4">
        <v>5</v>
      </c>
      <c r="C25" s="4">
        <v>85</v>
      </c>
      <c r="D25" s="4" t="s">
        <v>164</v>
      </c>
      <c r="E25" s="10" t="s">
        <v>176</v>
      </c>
      <c r="F25" s="4" t="s">
        <v>18</v>
      </c>
      <c r="G25" s="10"/>
      <c r="H25" s="4" t="s">
        <v>165</v>
      </c>
      <c r="I25" s="4" t="s">
        <v>182</v>
      </c>
      <c r="J25" s="4"/>
      <c r="K25" s="10"/>
      <c r="L25" s="38"/>
      <c r="M25" s="39">
        <v>321951</v>
      </c>
      <c r="N25" s="39"/>
      <c r="O25" s="39"/>
      <c r="P25" s="39"/>
      <c r="Q25" s="39"/>
      <c r="R25" s="39">
        <f t="shared" si="0"/>
        <v>321951</v>
      </c>
      <c r="S25" s="39">
        <v>831702</v>
      </c>
      <c r="T25" s="39"/>
      <c r="U25" s="39"/>
      <c r="V25" s="39"/>
      <c r="W25" s="39"/>
      <c r="X25" s="39">
        <f t="shared" si="1"/>
        <v>831702</v>
      </c>
      <c r="Y25" s="39">
        <v>880000</v>
      </c>
      <c r="Z25" s="39"/>
      <c r="AA25" s="39"/>
      <c r="AB25" s="39"/>
      <c r="AC25" s="39"/>
      <c r="AD25" s="39">
        <f t="shared" si="2"/>
        <v>880000</v>
      </c>
      <c r="AE25" s="39">
        <v>980000</v>
      </c>
      <c r="AF25" s="39"/>
      <c r="AG25" s="39"/>
      <c r="AH25" s="39"/>
      <c r="AI25" s="39"/>
      <c r="AJ25" s="39">
        <f t="shared" si="3"/>
        <v>980000</v>
      </c>
      <c r="AK25" s="39">
        <f t="shared" si="5"/>
        <v>3013653</v>
      </c>
      <c r="AL25" s="39">
        <f t="shared" si="6"/>
        <v>0</v>
      </c>
      <c r="AM25" s="39">
        <f t="shared" si="7"/>
        <v>0</v>
      </c>
      <c r="AN25" s="39">
        <f t="shared" si="8"/>
        <v>0</v>
      </c>
      <c r="AO25" s="39">
        <f t="shared" si="9"/>
        <v>0</v>
      </c>
      <c r="AP25" s="39">
        <f t="shared" si="4"/>
        <v>3013653</v>
      </c>
    </row>
    <row r="26" spans="1:42">
      <c r="A26" s="6"/>
      <c r="B26" s="4"/>
      <c r="C26" s="4"/>
      <c r="D26" s="4"/>
      <c r="E26" s="10"/>
      <c r="F26" s="4"/>
      <c r="G26" s="10"/>
      <c r="H26" s="4"/>
      <c r="I26" s="4"/>
      <c r="J26" s="4"/>
      <c r="K26" s="10"/>
      <c r="L26" s="38"/>
      <c r="M26" s="39"/>
      <c r="N26" s="39"/>
      <c r="O26" s="39"/>
      <c r="P26" s="39"/>
      <c r="Q26" s="39"/>
      <c r="R26" s="39">
        <f t="shared" si="0"/>
        <v>0</v>
      </c>
      <c r="S26" s="39"/>
      <c r="T26" s="39"/>
      <c r="U26" s="39"/>
      <c r="V26" s="39"/>
      <c r="W26" s="39"/>
      <c r="X26" s="39">
        <f t="shared" si="1"/>
        <v>0</v>
      </c>
      <c r="Y26" s="39"/>
      <c r="Z26" s="39"/>
      <c r="AA26" s="39"/>
      <c r="AB26" s="39"/>
      <c r="AC26" s="39"/>
      <c r="AD26" s="39">
        <f t="shared" si="2"/>
        <v>0</v>
      </c>
      <c r="AE26" s="39"/>
      <c r="AF26" s="39"/>
      <c r="AG26" s="39"/>
      <c r="AH26" s="39"/>
      <c r="AI26" s="39"/>
      <c r="AJ26" s="39">
        <f t="shared" si="3"/>
        <v>0</v>
      </c>
      <c r="AK26" s="39">
        <f t="shared" si="5"/>
        <v>0</v>
      </c>
      <c r="AL26" s="39">
        <f t="shared" si="6"/>
        <v>0</v>
      </c>
      <c r="AM26" s="39">
        <f t="shared" si="7"/>
        <v>0</v>
      </c>
      <c r="AN26" s="39">
        <f t="shared" si="8"/>
        <v>0</v>
      </c>
      <c r="AO26" s="39">
        <f t="shared" si="9"/>
        <v>0</v>
      </c>
      <c r="AP26" s="39">
        <f t="shared" si="4"/>
        <v>0</v>
      </c>
    </row>
    <row r="27" spans="1:42" s="79" customFormat="1" ht="76.5">
      <c r="A27" s="6" t="s">
        <v>309</v>
      </c>
      <c r="B27" s="15">
        <v>5</v>
      </c>
      <c r="C27" s="15">
        <v>85</v>
      </c>
      <c r="D27" s="15" t="s">
        <v>164</v>
      </c>
      <c r="E27" s="6" t="s">
        <v>242</v>
      </c>
      <c r="F27" s="15" t="s">
        <v>18</v>
      </c>
      <c r="G27" s="6"/>
      <c r="H27" s="15" t="s">
        <v>165</v>
      </c>
      <c r="I27" s="15" t="s">
        <v>182</v>
      </c>
      <c r="J27" s="15"/>
      <c r="K27" s="6"/>
      <c r="L27" s="89"/>
      <c r="M27" s="90">
        <f>'[1]B-Prioritized Strategic Core'!$L$26</f>
        <v>679750</v>
      </c>
      <c r="N27" s="90"/>
      <c r="O27" s="90"/>
      <c r="P27" s="90"/>
      <c r="Q27" s="90"/>
      <c r="R27" s="90">
        <f t="shared" si="0"/>
        <v>679750</v>
      </c>
      <c r="S27" s="90">
        <f>'[1]B-Prioritized Strategic Core'!$R$26</f>
        <v>946040</v>
      </c>
      <c r="T27" s="90"/>
      <c r="U27" s="90"/>
      <c r="V27" s="90"/>
      <c r="W27" s="90"/>
      <c r="X27" s="90">
        <f t="shared" si="1"/>
        <v>946040</v>
      </c>
      <c r="Y27" s="90">
        <f>'[1]B-Prioritized Strategic Core'!$X$26</f>
        <v>1315853</v>
      </c>
      <c r="Z27" s="90"/>
      <c r="AA27" s="90"/>
      <c r="AB27" s="90"/>
      <c r="AC27" s="90"/>
      <c r="AD27" s="90">
        <f t="shared" si="2"/>
        <v>1315853</v>
      </c>
      <c r="AE27" s="90">
        <f>'[1]B-Prioritized Strategic Core'!$AD$26</f>
        <v>2112570</v>
      </c>
      <c r="AF27" s="90"/>
      <c r="AG27" s="90"/>
      <c r="AH27" s="90"/>
      <c r="AI27" s="90"/>
      <c r="AJ27" s="90">
        <f t="shared" si="3"/>
        <v>2112570</v>
      </c>
      <c r="AK27" s="90">
        <f t="shared" si="5"/>
        <v>5054213</v>
      </c>
      <c r="AL27" s="90">
        <f t="shared" si="6"/>
        <v>0</v>
      </c>
      <c r="AM27" s="90">
        <f t="shared" si="7"/>
        <v>0</v>
      </c>
      <c r="AN27" s="90">
        <f t="shared" si="8"/>
        <v>0</v>
      </c>
      <c r="AO27" s="90">
        <f t="shared" si="9"/>
        <v>0</v>
      </c>
      <c r="AP27" s="90">
        <f t="shared" si="4"/>
        <v>5054213</v>
      </c>
    </row>
    <row r="28" spans="1:42">
      <c r="A28" s="6"/>
      <c r="B28" s="4"/>
      <c r="C28" s="4"/>
      <c r="D28" s="10"/>
      <c r="E28" s="10"/>
      <c r="F28" s="10"/>
      <c r="G28" s="10"/>
      <c r="H28" s="10"/>
      <c r="I28" s="10"/>
      <c r="J28" s="10"/>
      <c r="K28" s="10"/>
      <c r="L28" s="38"/>
      <c r="M28" s="39"/>
      <c r="N28" s="39"/>
      <c r="O28" s="39"/>
      <c r="P28" s="39"/>
      <c r="Q28" s="39"/>
      <c r="R28" s="39">
        <f t="shared" si="0"/>
        <v>0</v>
      </c>
      <c r="S28" s="39"/>
      <c r="T28" s="39"/>
      <c r="U28" s="39"/>
      <c r="V28" s="39"/>
      <c r="W28" s="39"/>
      <c r="X28" s="39">
        <f t="shared" si="1"/>
        <v>0</v>
      </c>
      <c r="Y28" s="39"/>
      <c r="Z28" s="39"/>
      <c r="AA28" s="39"/>
      <c r="AB28" s="39"/>
      <c r="AC28" s="39"/>
      <c r="AD28" s="39">
        <f t="shared" si="2"/>
        <v>0</v>
      </c>
      <c r="AE28" s="39"/>
      <c r="AF28" s="39"/>
      <c r="AG28" s="39"/>
      <c r="AH28" s="39"/>
      <c r="AI28" s="39"/>
      <c r="AJ28" s="39">
        <f t="shared" si="3"/>
        <v>0</v>
      </c>
      <c r="AK28" s="39">
        <f t="shared" si="5"/>
        <v>0</v>
      </c>
      <c r="AL28" s="39">
        <f t="shared" si="6"/>
        <v>0</v>
      </c>
      <c r="AM28" s="39">
        <f t="shared" si="7"/>
        <v>0</v>
      </c>
      <c r="AN28" s="39">
        <f t="shared" si="8"/>
        <v>0</v>
      </c>
      <c r="AO28" s="39">
        <f t="shared" si="9"/>
        <v>0</v>
      </c>
      <c r="AP28" s="39">
        <f t="shared" si="4"/>
        <v>0</v>
      </c>
    </row>
    <row r="29" spans="1:42" ht="76.5">
      <c r="A29" s="6" t="s">
        <v>243</v>
      </c>
      <c r="B29" s="4">
        <v>1</v>
      </c>
      <c r="C29" s="4">
        <v>100</v>
      </c>
      <c r="D29" s="4" t="s">
        <v>164</v>
      </c>
      <c r="E29" s="10" t="s">
        <v>177</v>
      </c>
      <c r="F29" s="4" t="s">
        <v>18</v>
      </c>
      <c r="G29" s="10"/>
      <c r="H29" s="4" t="s">
        <v>165</v>
      </c>
      <c r="I29" s="4" t="s">
        <v>182</v>
      </c>
      <c r="J29" s="4"/>
      <c r="K29" s="10"/>
      <c r="L29" s="38"/>
      <c r="M29" s="39">
        <v>2539420</v>
      </c>
      <c r="N29" s="39"/>
      <c r="O29" s="39"/>
      <c r="P29" s="39"/>
      <c r="Q29" s="39"/>
      <c r="R29" s="39">
        <f t="shared" si="0"/>
        <v>2539420</v>
      </c>
      <c r="S29" s="39">
        <v>4951093</v>
      </c>
      <c r="T29" s="39"/>
      <c r="U29" s="39"/>
      <c r="V29" s="39"/>
      <c r="W29" s="39"/>
      <c r="X29" s="39">
        <f t="shared" si="1"/>
        <v>4951093</v>
      </c>
      <c r="Y29" s="39">
        <v>4190684</v>
      </c>
      <c r="Z29" s="39"/>
      <c r="AA29" s="39"/>
      <c r="AB29" s="39"/>
      <c r="AC29" s="39"/>
      <c r="AD29" s="39">
        <f t="shared" si="2"/>
        <v>4190684</v>
      </c>
      <c r="AE29" s="39">
        <v>4190684</v>
      </c>
      <c r="AF29" s="39"/>
      <c r="AG29" s="39"/>
      <c r="AH29" s="39"/>
      <c r="AI29" s="39"/>
      <c r="AJ29" s="39">
        <f t="shared" si="3"/>
        <v>4190684</v>
      </c>
      <c r="AK29" s="39">
        <f t="shared" si="5"/>
        <v>15871881</v>
      </c>
      <c r="AL29" s="39">
        <f t="shared" si="6"/>
        <v>0</v>
      </c>
      <c r="AM29" s="39">
        <f t="shared" si="7"/>
        <v>0</v>
      </c>
      <c r="AN29" s="39">
        <f t="shared" si="8"/>
        <v>0</v>
      </c>
      <c r="AO29" s="39">
        <f t="shared" si="9"/>
        <v>0</v>
      </c>
      <c r="AP29" s="39">
        <f t="shared" si="4"/>
        <v>15871881</v>
      </c>
    </row>
    <row r="30" spans="1:42">
      <c r="A30" s="6"/>
      <c r="B30" s="4"/>
      <c r="C30" s="4"/>
      <c r="D30" s="10"/>
      <c r="E30" s="10"/>
      <c r="F30" s="10"/>
      <c r="G30" s="10"/>
      <c r="H30" s="10"/>
      <c r="I30" s="10"/>
      <c r="J30" s="10"/>
      <c r="K30" s="10"/>
      <c r="L30" s="38"/>
      <c r="M30" s="39"/>
      <c r="N30" s="39"/>
      <c r="O30" s="39"/>
      <c r="P30" s="39"/>
      <c r="Q30" s="39"/>
      <c r="R30" s="39">
        <f t="shared" si="0"/>
        <v>0</v>
      </c>
      <c r="S30" s="39"/>
      <c r="T30" s="39"/>
      <c r="U30" s="39"/>
      <c r="V30" s="39"/>
      <c r="W30" s="39"/>
      <c r="X30" s="39">
        <f t="shared" si="1"/>
        <v>0</v>
      </c>
      <c r="Y30" s="39"/>
      <c r="Z30" s="39"/>
      <c r="AA30" s="39"/>
      <c r="AB30" s="39"/>
      <c r="AC30" s="39"/>
      <c r="AD30" s="39">
        <f t="shared" si="2"/>
        <v>0</v>
      </c>
      <c r="AE30" s="39"/>
      <c r="AF30" s="39"/>
      <c r="AG30" s="39"/>
      <c r="AH30" s="39"/>
      <c r="AI30" s="39"/>
      <c r="AJ30" s="39">
        <f t="shared" si="3"/>
        <v>0</v>
      </c>
      <c r="AK30" s="39">
        <f t="shared" si="5"/>
        <v>0</v>
      </c>
      <c r="AL30" s="39">
        <f t="shared" si="6"/>
        <v>0</v>
      </c>
      <c r="AM30" s="39">
        <f t="shared" si="7"/>
        <v>0</v>
      </c>
      <c r="AN30" s="39">
        <f t="shared" si="8"/>
        <v>0</v>
      </c>
      <c r="AO30" s="39">
        <f t="shared" si="9"/>
        <v>0</v>
      </c>
      <c r="AP30" s="39">
        <f t="shared" si="4"/>
        <v>0</v>
      </c>
    </row>
    <row r="31" spans="1:42" ht="25.5">
      <c r="A31" s="6" t="s">
        <v>244</v>
      </c>
      <c r="B31" s="4">
        <v>2</v>
      </c>
      <c r="C31" s="4">
        <v>95</v>
      </c>
      <c r="D31" s="4" t="s">
        <v>164</v>
      </c>
      <c r="E31" s="10" t="s">
        <v>178</v>
      </c>
      <c r="F31" s="4" t="s">
        <v>18</v>
      </c>
      <c r="G31" s="10"/>
      <c r="H31" s="4" t="s">
        <v>165</v>
      </c>
      <c r="I31" s="4" t="s">
        <v>182</v>
      </c>
      <c r="J31" s="4"/>
      <c r="K31" s="10"/>
      <c r="L31" s="38"/>
      <c r="M31" s="39">
        <v>1312762</v>
      </c>
      <c r="N31" s="39"/>
      <c r="O31" s="39"/>
      <c r="P31" s="39"/>
      <c r="Q31" s="39"/>
      <c r="R31" s="39">
        <f t="shared" si="0"/>
        <v>1312762</v>
      </c>
      <c r="S31" s="39">
        <v>1444038</v>
      </c>
      <c r="T31" s="39"/>
      <c r="U31" s="39"/>
      <c r="V31" s="39"/>
      <c r="W31" s="39"/>
      <c r="X31" s="39">
        <f t="shared" si="1"/>
        <v>1444038</v>
      </c>
      <c r="Y31" s="39">
        <v>1558442</v>
      </c>
      <c r="Z31" s="39"/>
      <c r="AA31" s="39"/>
      <c r="AB31" s="39"/>
      <c r="AC31" s="39"/>
      <c r="AD31" s="39">
        <f t="shared" si="2"/>
        <v>1558442</v>
      </c>
      <c r="AE31" s="39">
        <v>1714286</v>
      </c>
      <c r="AF31" s="39"/>
      <c r="AG31" s="39"/>
      <c r="AH31" s="39"/>
      <c r="AI31" s="39"/>
      <c r="AJ31" s="39">
        <f t="shared" si="3"/>
        <v>1714286</v>
      </c>
      <c r="AK31" s="39">
        <f t="shared" si="5"/>
        <v>6029528</v>
      </c>
      <c r="AL31" s="39">
        <f t="shared" si="6"/>
        <v>0</v>
      </c>
      <c r="AM31" s="39">
        <f t="shared" si="7"/>
        <v>0</v>
      </c>
      <c r="AN31" s="39">
        <f t="shared" si="8"/>
        <v>0</v>
      </c>
      <c r="AO31" s="39">
        <f t="shared" si="9"/>
        <v>0</v>
      </c>
      <c r="AP31" s="39">
        <f t="shared" si="4"/>
        <v>6029528</v>
      </c>
    </row>
    <row r="32" spans="1:42">
      <c r="A32" s="6"/>
      <c r="B32" s="4"/>
      <c r="C32" s="4"/>
      <c r="D32" s="10"/>
      <c r="E32" s="10"/>
      <c r="F32" s="10"/>
      <c r="G32" s="10"/>
      <c r="H32" s="10"/>
      <c r="I32" s="10"/>
      <c r="J32" s="10"/>
      <c r="K32" s="10"/>
      <c r="L32" s="38"/>
      <c r="M32" s="39"/>
      <c r="N32" s="39"/>
      <c r="O32" s="39"/>
      <c r="P32" s="39"/>
      <c r="Q32" s="39"/>
      <c r="R32" s="39">
        <f t="shared" si="0"/>
        <v>0</v>
      </c>
      <c r="S32" s="39"/>
      <c r="T32" s="39"/>
      <c r="U32" s="39"/>
      <c r="V32" s="39"/>
      <c r="W32" s="39"/>
      <c r="X32" s="39">
        <f t="shared" si="1"/>
        <v>0</v>
      </c>
      <c r="Y32" s="39"/>
      <c r="Z32" s="39"/>
      <c r="AA32" s="39"/>
      <c r="AB32" s="39"/>
      <c r="AC32" s="39"/>
      <c r="AD32" s="39">
        <f t="shared" si="2"/>
        <v>0</v>
      </c>
      <c r="AE32" s="39"/>
      <c r="AF32" s="39"/>
      <c r="AG32" s="39"/>
      <c r="AH32" s="39"/>
      <c r="AI32" s="39"/>
      <c r="AJ32" s="39">
        <f t="shared" si="3"/>
        <v>0</v>
      </c>
      <c r="AK32" s="39">
        <f t="shared" si="5"/>
        <v>0</v>
      </c>
      <c r="AL32" s="39">
        <f t="shared" si="6"/>
        <v>0</v>
      </c>
      <c r="AM32" s="39">
        <f t="shared" si="7"/>
        <v>0</v>
      </c>
      <c r="AN32" s="39">
        <f t="shared" si="8"/>
        <v>0</v>
      </c>
      <c r="AO32" s="39">
        <f t="shared" si="9"/>
        <v>0</v>
      </c>
      <c r="AP32" s="39">
        <f t="shared" si="4"/>
        <v>0</v>
      </c>
    </row>
    <row r="33" spans="1:48" ht="38.25">
      <c r="A33" s="6" t="s">
        <v>245</v>
      </c>
      <c r="B33" s="4">
        <v>5</v>
      </c>
      <c r="C33" s="4">
        <v>85</v>
      </c>
      <c r="D33" s="4" t="s">
        <v>164</v>
      </c>
      <c r="E33" s="10" t="s">
        <v>179</v>
      </c>
      <c r="F33" s="4" t="s">
        <v>18</v>
      </c>
      <c r="G33" s="10"/>
      <c r="H33" s="4" t="s">
        <v>165</v>
      </c>
      <c r="I33" s="4" t="s">
        <v>182</v>
      </c>
      <c r="J33" s="4"/>
      <c r="K33" s="10"/>
      <c r="L33" s="38"/>
      <c r="M33" s="39">
        <v>2952832</v>
      </c>
      <c r="N33" s="39"/>
      <c r="O33" s="39"/>
      <c r="P33" s="39"/>
      <c r="Q33" s="39"/>
      <c r="R33" s="39">
        <f t="shared" si="0"/>
        <v>2952832</v>
      </c>
      <c r="S33" s="39">
        <v>2860727</v>
      </c>
      <c r="T33" s="39"/>
      <c r="U33" s="39"/>
      <c r="V33" s="39"/>
      <c r="W33" s="39"/>
      <c r="X33" s="39">
        <f t="shared" si="1"/>
        <v>2860727</v>
      </c>
      <c r="Y33" s="39">
        <v>2856183</v>
      </c>
      <c r="Z33" s="39"/>
      <c r="AA33" s="39"/>
      <c r="AB33" s="39"/>
      <c r="AC33" s="39"/>
      <c r="AD33" s="39">
        <f t="shared" si="2"/>
        <v>2856183</v>
      </c>
      <c r="AE33" s="39">
        <v>2856183</v>
      </c>
      <c r="AF33" s="39"/>
      <c r="AG33" s="39"/>
      <c r="AH33" s="39"/>
      <c r="AI33" s="39"/>
      <c r="AJ33" s="39">
        <f t="shared" si="3"/>
        <v>2856183</v>
      </c>
      <c r="AK33" s="39">
        <f t="shared" si="5"/>
        <v>11525925</v>
      </c>
      <c r="AL33" s="39">
        <f t="shared" si="6"/>
        <v>0</v>
      </c>
      <c r="AM33" s="39">
        <f t="shared" si="7"/>
        <v>0</v>
      </c>
      <c r="AN33" s="39">
        <f t="shared" si="8"/>
        <v>0</v>
      </c>
      <c r="AO33" s="39">
        <f t="shared" si="9"/>
        <v>0</v>
      </c>
      <c r="AP33" s="39">
        <f t="shared" si="4"/>
        <v>11525925</v>
      </c>
    </row>
    <row r="34" spans="1:48">
      <c r="A34" s="6"/>
      <c r="B34" s="4"/>
      <c r="C34" s="4"/>
      <c r="D34" s="10"/>
      <c r="E34" s="10"/>
      <c r="F34" s="10"/>
      <c r="G34" s="10"/>
      <c r="H34" s="10"/>
      <c r="I34" s="10"/>
      <c r="J34" s="10"/>
      <c r="K34" s="10"/>
      <c r="L34" s="38"/>
      <c r="M34" s="39"/>
      <c r="N34" s="39"/>
      <c r="O34" s="39"/>
      <c r="P34" s="39"/>
      <c r="Q34" s="39"/>
      <c r="R34" s="39">
        <f t="shared" si="0"/>
        <v>0</v>
      </c>
      <c r="S34" s="39"/>
      <c r="T34" s="39"/>
      <c r="U34" s="39"/>
      <c r="V34" s="39"/>
      <c r="W34" s="39"/>
      <c r="X34" s="39">
        <f t="shared" si="1"/>
        <v>0</v>
      </c>
      <c r="Y34" s="39"/>
      <c r="Z34" s="39"/>
      <c r="AA34" s="39"/>
      <c r="AB34" s="39"/>
      <c r="AC34" s="39"/>
      <c r="AD34" s="39">
        <f t="shared" si="2"/>
        <v>0</v>
      </c>
      <c r="AE34" s="39"/>
      <c r="AF34" s="39"/>
      <c r="AG34" s="39"/>
      <c r="AH34" s="39"/>
      <c r="AI34" s="39"/>
      <c r="AJ34" s="39">
        <f t="shared" si="3"/>
        <v>0</v>
      </c>
      <c r="AK34" s="39">
        <f t="shared" si="5"/>
        <v>0</v>
      </c>
      <c r="AL34" s="39">
        <f t="shared" si="6"/>
        <v>0</v>
      </c>
      <c r="AM34" s="39">
        <f t="shared" si="7"/>
        <v>0</v>
      </c>
      <c r="AN34" s="39">
        <f t="shared" si="8"/>
        <v>0</v>
      </c>
      <c r="AO34" s="39">
        <f t="shared" si="9"/>
        <v>0</v>
      </c>
      <c r="AP34" s="39">
        <f t="shared" si="4"/>
        <v>0</v>
      </c>
    </row>
    <row r="35" spans="1:48" ht="25.5">
      <c r="A35" s="6" t="s">
        <v>246</v>
      </c>
      <c r="B35" s="4">
        <v>5</v>
      </c>
      <c r="C35" s="4">
        <v>85</v>
      </c>
      <c r="D35" s="4" t="s">
        <v>164</v>
      </c>
      <c r="E35" s="10" t="s">
        <v>180</v>
      </c>
      <c r="F35" s="4" t="s">
        <v>18</v>
      </c>
      <c r="G35" s="10"/>
      <c r="H35" s="4" t="s">
        <v>165</v>
      </c>
      <c r="I35" s="4" t="s">
        <v>182</v>
      </c>
      <c r="J35" s="4"/>
      <c r="K35" s="10"/>
      <c r="L35" s="38"/>
      <c r="M35" s="39">
        <v>1000000</v>
      </c>
      <c r="N35" s="39"/>
      <c r="O35" s="39"/>
      <c r="P35" s="39"/>
      <c r="Q35" s="39"/>
      <c r="R35" s="39">
        <f t="shared" si="0"/>
        <v>1000000</v>
      </c>
      <c r="S35" s="39">
        <v>1036210</v>
      </c>
      <c r="T35" s="39"/>
      <c r="U35" s="39"/>
      <c r="V35" s="39"/>
      <c r="W35" s="39"/>
      <c r="X35" s="39">
        <f t="shared" si="1"/>
        <v>1036210</v>
      </c>
      <c r="Y35" s="39">
        <v>1000000</v>
      </c>
      <c r="Z35" s="39"/>
      <c r="AA35" s="39"/>
      <c r="AB35" s="39"/>
      <c r="AC35" s="39"/>
      <c r="AD35" s="39">
        <f t="shared" si="2"/>
        <v>1000000</v>
      </c>
      <c r="AE35" s="39">
        <v>1000000</v>
      </c>
      <c r="AF35" s="39"/>
      <c r="AG35" s="39"/>
      <c r="AH35" s="39"/>
      <c r="AI35" s="39"/>
      <c r="AJ35" s="39">
        <f t="shared" si="3"/>
        <v>1000000</v>
      </c>
      <c r="AK35" s="39">
        <f t="shared" si="5"/>
        <v>4036210</v>
      </c>
      <c r="AL35" s="39">
        <f t="shared" si="6"/>
        <v>0</v>
      </c>
      <c r="AM35" s="39">
        <f t="shared" si="7"/>
        <v>0</v>
      </c>
      <c r="AN35" s="39">
        <f t="shared" si="8"/>
        <v>0</v>
      </c>
      <c r="AO35" s="39">
        <f t="shared" si="9"/>
        <v>0</v>
      </c>
      <c r="AP35" s="39">
        <f t="shared" si="4"/>
        <v>4036210</v>
      </c>
    </row>
    <row r="36" spans="1:48">
      <c r="A36" s="6"/>
      <c r="B36" s="4"/>
      <c r="C36" s="4"/>
      <c r="D36" s="4"/>
      <c r="E36" s="10"/>
      <c r="F36" s="4"/>
      <c r="G36" s="10"/>
      <c r="H36" s="4"/>
      <c r="I36" s="4"/>
      <c r="J36" s="4"/>
      <c r="K36" s="10"/>
      <c r="L36" s="38"/>
      <c r="M36" s="39"/>
      <c r="N36" s="39"/>
      <c r="O36" s="39"/>
      <c r="P36" s="39"/>
      <c r="Q36" s="39"/>
      <c r="R36" s="39">
        <f t="shared" si="0"/>
        <v>0</v>
      </c>
      <c r="S36" s="39"/>
      <c r="T36" s="39"/>
      <c r="U36" s="39"/>
      <c r="V36" s="39"/>
      <c r="W36" s="39"/>
      <c r="X36" s="39">
        <f t="shared" si="1"/>
        <v>0</v>
      </c>
      <c r="Y36" s="39"/>
      <c r="Z36" s="39"/>
      <c r="AA36" s="39"/>
      <c r="AB36" s="39"/>
      <c r="AC36" s="39"/>
      <c r="AD36" s="39">
        <f t="shared" si="2"/>
        <v>0</v>
      </c>
      <c r="AE36" s="39"/>
      <c r="AF36" s="39"/>
      <c r="AG36" s="39"/>
      <c r="AH36" s="39"/>
      <c r="AI36" s="39"/>
      <c r="AJ36" s="39">
        <f t="shared" si="3"/>
        <v>0</v>
      </c>
      <c r="AK36" s="39">
        <f t="shared" si="5"/>
        <v>0</v>
      </c>
      <c r="AL36" s="39">
        <f t="shared" si="6"/>
        <v>0</v>
      </c>
      <c r="AM36" s="39">
        <f t="shared" si="7"/>
        <v>0</v>
      </c>
      <c r="AN36" s="39">
        <f t="shared" si="8"/>
        <v>0</v>
      </c>
      <c r="AO36" s="39">
        <f t="shared" si="9"/>
        <v>0</v>
      </c>
      <c r="AP36" s="39">
        <f t="shared" si="4"/>
        <v>0</v>
      </c>
    </row>
    <row r="37" spans="1:48" ht="38.25">
      <c r="A37" s="6" t="s">
        <v>247</v>
      </c>
      <c r="B37" s="4">
        <v>15</v>
      </c>
      <c r="C37" s="4">
        <v>65</v>
      </c>
      <c r="D37" s="4" t="s">
        <v>164</v>
      </c>
      <c r="E37" s="10" t="s">
        <v>248</v>
      </c>
      <c r="F37" s="4" t="s">
        <v>18</v>
      </c>
      <c r="G37" s="10"/>
      <c r="H37" s="4" t="s">
        <v>165</v>
      </c>
      <c r="I37" s="4" t="s">
        <v>182</v>
      </c>
      <c r="J37" s="4"/>
      <c r="K37" s="10"/>
      <c r="L37" s="38"/>
      <c r="M37" s="39">
        <v>192081</v>
      </c>
      <c r="N37" s="39"/>
      <c r="O37" s="39"/>
      <c r="P37" s="39"/>
      <c r="Q37" s="39"/>
      <c r="R37" s="39">
        <f t="shared" si="0"/>
        <v>192081</v>
      </c>
      <c r="S37" s="39">
        <v>325064</v>
      </c>
      <c r="T37" s="39"/>
      <c r="U37" s="39"/>
      <c r="V37" s="39"/>
      <c r="W37" s="39"/>
      <c r="X37" s="39">
        <f t="shared" si="1"/>
        <v>325064</v>
      </c>
      <c r="Y37" s="39">
        <v>325064</v>
      </c>
      <c r="Z37" s="39"/>
      <c r="AA37" s="39"/>
      <c r="AB37" s="39"/>
      <c r="AC37" s="39"/>
      <c r="AD37" s="39">
        <f t="shared" si="2"/>
        <v>325064</v>
      </c>
      <c r="AE37" s="39">
        <v>325064</v>
      </c>
      <c r="AF37" s="39"/>
      <c r="AG37" s="39"/>
      <c r="AH37" s="39"/>
      <c r="AI37" s="39"/>
      <c r="AJ37" s="39">
        <f t="shared" si="3"/>
        <v>325064</v>
      </c>
      <c r="AK37" s="39">
        <f t="shared" si="5"/>
        <v>1167273</v>
      </c>
      <c r="AL37" s="39">
        <f t="shared" si="6"/>
        <v>0</v>
      </c>
      <c r="AM37" s="39">
        <f t="shared" si="7"/>
        <v>0</v>
      </c>
      <c r="AN37" s="39">
        <f t="shared" si="8"/>
        <v>0</v>
      </c>
      <c r="AO37" s="39">
        <f t="shared" si="9"/>
        <v>0</v>
      </c>
      <c r="AP37" s="39">
        <f t="shared" si="4"/>
        <v>1167273</v>
      </c>
    </row>
    <row r="38" spans="1:48">
      <c r="A38" s="6"/>
      <c r="B38" s="4"/>
      <c r="C38" s="4"/>
      <c r="D38" s="4"/>
      <c r="E38" s="10"/>
      <c r="F38" s="4"/>
      <c r="G38" s="10"/>
      <c r="H38" s="4"/>
      <c r="I38" s="4"/>
      <c r="J38" s="4"/>
      <c r="K38" s="10"/>
      <c r="L38" s="38"/>
      <c r="M38" s="39"/>
      <c r="N38" s="39"/>
      <c r="O38" s="39"/>
      <c r="P38" s="39"/>
      <c r="Q38" s="39"/>
      <c r="R38" s="39">
        <f t="shared" si="0"/>
        <v>0</v>
      </c>
      <c r="S38" s="39"/>
      <c r="T38" s="39"/>
      <c r="U38" s="39"/>
      <c r="V38" s="39"/>
      <c r="W38" s="39"/>
      <c r="X38" s="39">
        <f t="shared" si="1"/>
        <v>0</v>
      </c>
      <c r="Y38" s="39"/>
      <c r="Z38" s="39"/>
      <c r="AA38" s="39"/>
      <c r="AB38" s="39"/>
      <c r="AC38" s="39"/>
      <c r="AD38" s="39">
        <f t="shared" si="2"/>
        <v>0</v>
      </c>
      <c r="AE38" s="39"/>
      <c r="AF38" s="39"/>
      <c r="AG38" s="39"/>
      <c r="AH38" s="39"/>
      <c r="AI38" s="39"/>
      <c r="AJ38" s="39">
        <f t="shared" si="3"/>
        <v>0</v>
      </c>
      <c r="AK38" s="39">
        <f t="shared" si="5"/>
        <v>0</v>
      </c>
      <c r="AL38" s="39">
        <f t="shared" si="6"/>
        <v>0</v>
      </c>
      <c r="AM38" s="39">
        <f t="shared" si="7"/>
        <v>0</v>
      </c>
      <c r="AN38" s="39">
        <f t="shared" si="8"/>
        <v>0</v>
      </c>
      <c r="AO38" s="39">
        <f t="shared" si="9"/>
        <v>0</v>
      </c>
      <c r="AP38" s="39">
        <f t="shared" si="4"/>
        <v>0</v>
      </c>
    </row>
    <row r="39" spans="1:48" ht="63.75">
      <c r="A39" s="23" t="s">
        <v>352</v>
      </c>
      <c r="B39" s="4">
        <v>11</v>
      </c>
      <c r="C39" s="4">
        <v>80</v>
      </c>
      <c r="D39" s="4" t="s">
        <v>164</v>
      </c>
      <c r="E39" s="10" t="s">
        <v>181</v>
      </c>
      <c r="F39" s="307" t="s">
        <v>141</v>
      </c>
      <c r="G39" s="10"/>
      <c r="H39" s="4" t="s">
        <v>165</v>
      </c>
      <c r="I39" s="4" t="s">
        <v>182</v>
      </c>
      <c r="J39" s="4"/>
      <c r="K39" s="10"/>
      <c r="L39" s="10"/>
      <c r="M39" s="39"/>
      <c r="N39" s="39"/>
      <c r="O39" s="39"/>
      <c r="P39" s="39">
        <f>6705479/5</f>
        <v>1341095.8</v>
      </c>
      <c r="Q39" s="39"/>
      <c r="R39" s="39">
        <f t="shared" si="0"/>
        <v>1341095.8</v>
      </c>
      <c r="S39" s="39"/>
      <c r="T39" s="39"/>
      <c r="U39" s="39"/>
      <c r="V39" s="39">
        <f>6705479/5</f>
        <v>1341095.8</v>
      </c>
      <c r="W39" s="39"/>
      <c r="X39" s="39">
        <f t="shared" si="1"/>
        <v>1341095.8</v>
      </c>
      <c r="Y39" s="39"/>
      <c r="Z39" s="39"/>
      <c r="AA39" s="39"/>
      <c r="AB39" s="39">
        <f>6705479/5</f>
        <v>1341095.8</v>
      </c>
      <c r="AC39" s="39"/>
      <c r="AD39" s="39">
        <f t="shared" si="2"/>
        <v>1341095.8</v>
      </c>
      <c r="AE39" s="39"/>
      <c r="AF39" s="39"/>
      <c r="AG39" s="39"/>
      <c r="AH39" s="39">
        <f>6705479/5</f>
        <v>1341095.8</v>
      </c>
      <c r="AI39" s="39"/>
      <c r="AJ39" s="39">
        <f t="shared" si="3"/>
        <v>1341095.8</v>
      </c>
      <c r="AK39" s="39">
        <f t="shared" si="5"/>
        <v>0</v>
      </c>
      <c r="AL39" s="39">
        <f t="shared" si="6"/>
        <v>0</v>
      </c>
      <c r="AM39" s="39">
        <f t="shared" si="7"/>
        <v>0</v>
      </c>
      <c r="AN39" s="39">
        <f t="shared" si="8"/>
        <v>5364383.2</v>
      </c>
      <c r="AO39" s="39">
        <f t="shared" si="9"/>
        <v>0</v>
      </c>
      <c r="AP39" s="39">
        <f t="shared" si="4"/>
        <v>5364383.2</v>
      </c>
    </row>
    <row r="40" spans="1:48">
      <c r="A40" s="23"/>
      <c r="B40" s="4"/>
      <c r="C40" s="4"/>
      <c r="D40" s="4"/>
      <c r="E40" s="10"/>
      <c r="F40" s="4"/>
      <c r="G40" s="10"/>
      <c r="H40" s="4"/>
      <c r="I40" s="4"/>
      <c r="J40" s="4"/>
      <c r="K40" s="10"/>
      <c r="L40" s="10"/>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row>
    <row r="41" spans="1:48" ht="25.5">
      <c r="A41" s="23" t="s">
        <v>453</v>
      </c>
      <c r="B41" s="4"/>
      <c r="C41" s="4"/>
      <c r="D41" s="4" t="s">
        <v>164</v>
      </c>
      <c r="E41" s="10"/>
      <c r="F41" s="4"/>
      <c r="G41" s="10" t="s">
        <v>508</v>
      </c>
      <c r="H41" s="4" t="s">
        <v>509</v>
      </c>
      <c r="I41" s="4"/>
      <c r="J41" s="4"/>
      <c r="K41" s="10" t="s">
        <v>511</v>
      </c>
      <c r="L41" s="10" t="s">
        <v>510</v>
      </c>
      <c r="M41" s="39">
        <v>406500000</v>
      </c>
      <c r="N41" s="39"/>
      <c r="O41" s="39"/>
      <c r="P41" s="39"/>
      <c r="Q41" s="39"/>
      <c r="R41" s="39">
        <f t="shared" si="0"/>
        <v>406500000</v>
      </c>
      <c r="S41" s="39">
        <v>599530000</v>
      </c>
      <c r="T41" s="39"/>
      <c r="U41" s="39"/>
      <c r="V41" s="39"/>
      <c r="W41" s="39"/>
      <c r="X41" s="39">
        <f t="shared" si="1"/>
        <v>599530000</v>
      </c>
      <c r="Y41" s="39">
        <v>411470000</v>
      </c>
      <c r="Z41" s="39"/>
      <c r="AA41" s="39"/>
      <c r="AB41" s="39"/>
      <c r="AC41" s="39"/>
      <c r="AD41" s="39">
        <f t="shared" si="2"/>
        <v>411470000</v>
      </c>
      <c r="AE41" s="39"/>
      <c r="AF41" s="39"/>
      <c r="AG41" s="39"/>
      <c r="AH41" s="39"/>
      <c r="AI41" s="39"/>
      <c r="AJ41" s="39"/>
      <c r="AK41" s="39">
        <f t="shared" si="5"/>
        <v>1417500000</v>
      </c>
      <c r="AL41" s="39">
        <f t="shared" si="6"/>
        <v>0</v>
      </c>
      <c r="AM41" s="39"/>
      <c r="AN41" s="39"/>
      <c r="AO41" s="39"/>
      <c r="AP41" s="39">
        <f t="shared" si="4"/>
        <v>1417500000</v>
      </c>
    </row>
    <row r="42" spans="1:48">
      <c r="A42" s="23"/>
      <c r="B42" s="4"/>
      <c r="C42" s="4"/>
      <c r="D42" s="4"/>
      <c r="E42" s="10"/>
      <c r="F42" s="4"/>
      <c r="G42" s="10"/>
      <c r="H42" s="4"/>
      <c r="I42" s="4"/>
      <c r="J42" s="4"/>
      <c r="K42" s="10"/>
      <c r="L42" s="10"/>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row>
    <row r="43" spans="1:48" ht="31.5">
      <c r="A43" s="23" t="s">
        <v>507</v>
      </c>
      <c r="B43" s="4"/>
      <c r="C43" s="4"/>
      <c r="D43" s="4" t="s">
        <v>164</v>
      </c>
      <c r="E43" s="143" t="s">
        <v>461</v>
      </c>
      <c r="F43" s="4"/>
      <c r="G43" s="10" t="s">
        <v>74</v>
      </c>
      <c r="H43" s="4" t="str">
        <f>H41</f>
        <v>8. Social Development</v>
      </c>
      <c r="I43" s="4"/>
      <c r="J43" s="4"/>
      <c r="K43" s="10" t="s">
        <v>511</v>
      </c>
      <c r="L43" s="10" t="s">
        <v>510</v>
      </c>
      <c r="M43" s="39">
        <v>774000000</v>
      </c>
      <c r="N43" s="39"/>
      <c r="O43" s="39"/>
      <c r="P43" s="39"/>
      <c r="Q43" s="39"/>
      <c r="R43" s="39">
        <f t="shared" si="0"/>
        <v>774000000</v>
      </c>
      <c r="S43" s="39">
        <v>586000000</v>
      </c>
      <c r="T43" s="39"/>
      <c r="U43" s="39"/>
      <c r="V43" s="39"/>
      <c r="W43" s="39"/>
      <c r="X43" s="39">
        <f t="shared" si="1"/>
        <v>586000000</v>
      </c>
      <c r="Y43" s="39">
        <v>356000000</v>
      </c>
      <c r="Z43" s="39"/>
      <c r="AA43" s="39"/>
      <c r="AB43" s="39"/>
      <c r="AC43" s="39"/>
      <c r="AD43" s="39">
        <f t="shared" si="2"/>
        <v>356000000</v>
      </c>
      <c r="AE43" s="39"/>
      <c r="AF43" s="39"/>
      <c r="AG43" s="39"/>
      <c r="AH43" s="39"/>
      <c r="AI43" s="39"/>
      <c r="AJ43" s="39"/>
      <c r="AK43" s="39">
        <f t="shared" si="5"/>
        <v>1716000000</v>
      </c>
      <c r="AL43" s="39">
        <f t="shared" si="6"/>
        <v>0</v>
      </c>
      <c r="AM43" s="39"/>
      <c r="AN43" s="39"/>
      <c r="AO43" s="39"/>
      <c r="AP43" s="39">
        <f t="shared" si="4"/>
        <v>1716000000</v>
      </c>
    </row>
    <row r="44" spans="1:48">
      <c r="A44" s="23"/>
      <c r="B44" s="4"/>
      <c r="C44" s="4"/>
      <c r="D44" s="4"/>
      <c r="E44" s="10"/>
      <c r="F44" s="4"/>
      <c r="G44" s="10"/>
      <c r="H44" s="4"/>
      <c r="I44" s="4"/>
      <c r="J44" s="4"/>
      <c r="K44" s="10"/>
      <c r="L44" s="10"/>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row>
    <row r="45" spans="1:48" ht="25.5">
      <c r="A45" s="6" t="s">
        <v>337</v>
      </c>
      <c r="B45" s="4"/>
      <c r="C45" s="4"/>
      <c r="D45" s="10" t="s">
        <v>164</v>
      </c>
      <c r="E45" s="10" t="s">
        <v>336</v>
      </c>
      <c r="F45" s="10" t="s">
        <v>25</v>
      </c>
      <c r="G45" s="10" t="s">
        <v>74</v>
      </c>
      <c r="H45" s="10" t="str">
        <f>H39</f>
        <v>8: Social Development</v>
      </c>
      <c r="I45" s="10" t="str">
        <f>I39</f>
        <v>Agenda 4</v>
      </c>
      <c r="J45" s="10"/>
      <c r="K45" s="10"/>
      <c r="L45" s="10"/>
      <c r="M45" s="39">
        <v>0</v>
      </c>
      <c r="N45" s="39"/>
      <c r="O45" s="39"/>
      <c r="P45" s="39"/>
      <c r="Q45" s="39">
        <v>0</v>
      </c>
      <c r="R45" s="39">
        <f t="shared" si="0"/>
        <v>0</v>
      </c>
      <c r="S45" s="39"/>
      <c r="T45" s="39"/>
      <c r="U45" s="39"/>
      <c r="V45" s="39"/>
      <c r="W45" s="39">
        <v>0</v>
      </c>
      <c r="X45" s="39">
        <v>0</v>
      </c>
      <c r="Y45" s="39"/>
      <c r="Z45" s="39"/>
      <c r="AA45" s="39"/>
      <c r="AB45" s="39"/>
      <c r="AC45" s="39">
        <v>0</v>
      </c>
      <c r="AD45" s="39">
        <v>0</v>
      </c>
      <c r="AE45" s="39"/>
      <c r="AF45" s="39"/>
      <c r="AG45" s="39"/>
      <c r="AH45" s="39"/>
      <c r="AI45" s="39"/>
      <c r="AJ45" s="39">
        <f t="shared" si="3"/>
        <v>0</v>
      </c>
      <c r="AK45" s="39">
        <f t="shared" si="5"/>
        <v>0</v>
      </c>
      <c r="AL45" s="39">
        <f t="shared" si="6"/>
        <v>0</v>
      </c>
      <c r="AM45" s="39">
        <f t="shared" si="7"/>
        <v>0</v>
      </c>
      <c r="AN45" s="39">
        <f t="shared" si="8"/>
        <v>0</v>
      </c>
      <c r="AO45" s="39">
        <f t="shared" si="9"/>
        <v>0</v>
      </c>
      <c r="AP45" s="39">
        <f t="shared" si="4"/>
        <v>0</v>
      </c>
    </row>
    <row r="46" spans="1:48" ht="45" customHeight="1">
      <c r="A46" s="27" t="s">
        <v>196</v>
      </c>
      <c r="B46" s="28"/>
      <c r="C46" s="28"/>
      <c r="D46" s="28"/>
      <c r="E46" s="28"/>
      <c r="F46" s="28"/>
      <c r="G46" s="28"/>
      <c r="H46" s="28"/>
      <c r="I46" s="28"/>
      <c r="J46" s="28"/>
      <c r="K46" s="28"/>
      <c r="L46" s="28"/>
      <c r="M46" s="48">
        <f>SUM(M8:M45)</f>
        <v>1228466012</v>
      </c>
      <c r="N46" s="48">
        <f>SUM(N8:N45)</f>
        <v>0</v>
      </c>
      <c r="O46" s="48">
        <f>SUM(O8:O45)</f>
        <v>0</v>
      </c>
      <c r="P46" s="48">
        <f>SUM(P8:P45)</f>
        <v>1341095.8</v>
      </c>
      <c r="Q46" s="48">
        <f>SUM(Q8:Q45)</f>
        <v>0</v>
      </c>
      <c r="R46" s="48">
        <f>SUM(M46:Q46)</f>
        <v>1229807107.8</v>
      </c>
      <c r="S46" s="48">
        <f>SUM(S8:S45)</f>
        <v>1261567545</v>
      </c>
      <c r="T46" s="48">
        <f>SUM(T8:T45)</f>
        <v>0</v>
      </c>
      <c r="U46" s="48">
        <f>SUM(U8:U45)</f>
        <v>0</v>
      </c>
      <c r="V46" s="48">
        <f>SUM(V8:V45)</f>
        <v>1341095.8</v>
      </c>
      <c r="W46" s="48">
        <f>SUM(W8:W45)</f>
        <v>0</v>
      </c>
      <c r="X46" s="48">
        <f t="shared" si="1"/>
        <v>1262908640.8</v>
      </c>
      <c r="Y46" s="48">
        <f>SUM(Y8:Y45)</f>
        <v>884767360</v>
      </c>
      <c r="Z46" s="48">
        <f>SUM(Z8:Z45)</f>
        <v>0</v>
      </c>
      <c r="AA46" s="48">
        <f>SUM(AA8:AA45)</f>
        <v>0</v>
      </c>
      <c r="AB46" s="48">
        <f>SUM(AB8:AB45)</f>
        <v>1341095.8</v>
      </c>
      <c r="AC46" s="48">
        <f>SUM(AC8:AC45)</f>
        <v>0</v>
      </c>
      <c r="AD46" s="48">
        <f t="shared" si="2"/>
        <v>886108455.79999995</v>
      </c>
      <c r="AE46" s="48">
        <f>SUM(AE8:AE45)</f>
        <v>115375502</v>
      </c>
      <c r="AF46" s="48">
        <f>SUM(AF8:AF45)</f>
        <v>0</v>
      </c>
      <c r="AG46" s="48">
        <f>SUM(AG8:AG45)</f>
        <v>0</v>
      </c>
      <c r="AH46" s="48">
        <f>SUM(AH8:AH45)</f>
        <v>1341095.8</v>
      </c>
      <c r="AI46" s="48">
        <f>SUM(AI8:AI45)</f>
        <v>0</v>
      </c>
      <c r="AJ46" s="48">
        <f t="shared" si="3"/>
        <v>116716597.8</v>
      </c>
      <c r="AK46" s="48">
        <f>SUM(AK8:AK45)</f>
        <v>3490176419</v>
      </c>
      <c r="AL46" s="48">
        <f>SUM(AL8:AL45)</f>
        <v>0</v>
      </c>
      <c r="AM46" s="48">
        <f>SUM(AM8:AM45)</f>
        <v>0</v>
      </c>
      <c r="AN46" s="48">
        <f>SUM(AN8:AN45)</f>
        <v>5364383.2</v>
      </c>
      <c r="AO46" s="48">
        <f>SUM(AO8:AO45)</f>
        <v>0</v>
      </c>
      <c r="AP46" s="48">
        <f t="shared" si="4"/>
        <v>3495540802.1999998</v>
      </c>
    </row>
    <row r="47" spans="1:48" ht="30" customHeight="1">
      <c r="A47" s="25" t="s">
        <v>188</v>
      </c>
      <c r="B47" s="49"/>
      <c r="C47" s="49"/>
      <c r="D47" s="49"/>
      <c r="E47" s="49"/>
      <c r="F47" s="49"/>
      <c r="G47" s="49"/>
      <c r="H47" s="49"/>
      <c r="I47" s="49"/>
      <c r="J47" s="49"/>
      <c r="K47" s="49"/>
      <c r="L47" s="49"/>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row>
    <row r="48" spans="1:48" ht="38.25">
      <c r="A48" s="19" t="s">
        <v>187</v>
      </c>
      <c r="B48" s="51"/>
      <c r="C48" s="51"/>
      <c r="D48" s="51"/>
      <c r="E48" s="51"/>
      <c r="F48" s="51"/>
      <c r="G48" s="51"/>
      <c r="H48" s="51"/>
      <c r="I48" s="51"/>
      <c r="J48" s="51"/>
      <c r="K48" s="51"/>
      <c r="L48" s="51"/>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row>
    <row r="49" spans="1:48">
      <c r="A49" s="53" t="s">
        <v>97</v>
      </c>
      <c r="B49" s="53"/>
      <c r="C49" s="53"/>
      <c r="D49" s="53"/>
      <c r="E49" s="53"/>
      <c r="F49" s="53"/>
      <c r="G49" s="53"/>
      <c r="H49" s="53"/>
      <c r="I49" s="53"/>
      <c r="J49" s="53"/>
      <c r="K49" s="53"/>
      <c r="L49" s="53"/>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c r="AS49" s="54"/>
      <c r="AT49" s="54"/>
      <c r="AU49" s="54"/>
      <c r="AV49" s="54"/>
    </row>
    <row r="50" spans="1:48" ht="25.5">
      <c r="A50" s="3" t="s">
        <v>185</v>
      </c>
      <c r="B50" s="51"/>
      <c r="C50" s="51"/>
      <c r="D50" s="51"/>
      <c r="E50" s="51"/>
      <c r="F50" s="51"/>
      <c r="G50" s="51"/>
      <c r="H50" s="51"/>
      <c r="I50" s="51"/>
      <c r="J50" s="51"/>
      <c r="K50" s="51"/>
      <c r="L50" s="51"/>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row>
    <row r="51" spans="1:48" s="66" customFormat="1" ht="25.5">
      <c r="A51" s="19" t="s">
        <v>144</v>
      </c>
      <c r="B51" s="8"/>
      <c r="C51" s="8"/>
      <c r="D51" s="93"/>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row>
    <row r="52" spans="1:48" s="66" customFormat="1">
      <c r="A52" s="19" t="s">
        <v>75</v>
      </c>
      <c r="B52" s="8"/>
      <c r="C52" s="8"/>
      <c r="D52" s="93"/>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52"/>
      <c r="AR52" s="52"/>
      <c r="AS52" s="52"/>
      <c r="AT52" s="52"/>
      <c r="AU52" s="52"/>
      <c r="AV52" s="52"/>
    </row>
    <row r="53" spans="1:48" s="66" customFormat="1" ht="51">
      <c r="A53" s="10" t="s">
        <v>76</v>
      </c>
      <c r="B53" s="10"/>
      <c r="C53" s="10"/>
      <c r="D53" s="10" t="s">
        <v>97</v>
      </c>
      <c r="E53" s="10" t="s">
        <v>99</v>
      </c>
      <c r="F53" s="10" t="s">
        <v>18</v>
      </c>
      <c r="G53" s="10"/>
      <c r="H53" s="10" t="s">
        <v>118</v>
      </c>
      <c r="I53" s="10" t="s">
        <v>142</v>
      </c>
      <c r="J53" s="10" t="s">
        <v>256</v>
      </c>
      <c r="K53" s="10"/>
      <c r="L53" s="10"/>
      <c r="M53" s="248">
        <v>14599270.999999974</v>
      </c>
      <c r="N53" s="131"/>
      <c r="O53" s="131"/>
      <c r="P53" s="131"/>
      <c r="Q53" s="131"/>
      <c r="R53" s="131">
        <v>14599270.999999974</v>
      </c>
      <c r="S53" s="229">
        <v>7944915.0000000019</v>
      </c>
      <c r="T53" s="131"/>
      <c r="U53" s="131"/>
      <c r="V53" s="131"/>
      <c r="W53" s="131"/>
      <c r="X53" s="131">
        <v>7944915.0000000019</v>
      </c>
      <c r="Y53" s="228">
        <v>9903438.0555100199</v>
      </c>
      <c r="Z53" s="131"/>
      <c r="AA53" s="131"/>
      <c r="AB53" s="131"/>
      <c r="AC53" s="131"/>
      <c r="AD53" s="131">
        <v>9903438.0555100199</v>
      </c>
      <c r="AE53" s="228">
        <v>7964733.0158517603</v>
      </c>
      <c r="AF53" s="131"/>
      <c r="AG53" s="131"/>
      <c r="AH53" s="131"/>
      <c r="AI53" s="131"/>
      <c r="AJ53" s="131">
        <v>7964733.0158517603</v>
      </c>
      <c r="AK53" s="131">
        <v>40412357.071361758</v>
      </c>
      <c r="AL53" s="131">
        <v>0</v>
      </c>
      <c r="AM53" s="131">
        <v>0</v>
      </c>
      <c r="AN53" s="131">
        <v>0</v>
      </c>
      <c r="AO53" s="131">
        <v>0</v>
      </c>
      <c r="AP53" s="131">
        <v>40412357.071361758</v>
      </c>
      <c r="AQ53" s="8"/>
      <c r="AR53" s="8"/>
      <c r="AS53" s="8"/>
      <c r="AT53" s="8"/>
      <c r="AU53" s="8"/>
      <c r="AV53" s="8"/>
    </row>
    <row r="54" spans="1:48" s="66" customFormat="1">
      <c r="A54" s="10" t="s">
        <v>77</v>
      </c>
      <c r="B54" s="10"/>
      <c r="C54" s="10"/>
      <c r="D54" s="10"/>
      <c r="E54" s="10"/>
      <c r="F54" s="10"/>
      <c r="G54" s="10"/>
      <c r="H54" s="10"/>
      <c r="I54" s="10"/>
      <c r="J54" s="10"/>
      <c r="K54" s="10"/>
      <c r="L54" s="10"/>
      <c r="M54" s="131"/>
      <c r="N54" s="131"/>
      <c r="O54" s="131"/>
      <c r="P54" s="131"/>
      <c r="Q54" s="131"/>
      <c r="R54" s="131"/>
      <c r="S54" s="230"/>
      <c r="T54" s="131"/>
      <c r="U54" s="131"/>
      <c r="V54" s="131"/>
      <c r="W54" s="131"/>
      <c r="X54" s="131"/>
      <c r="Y54" s="131"/>
      <c r="Z54" s="131"/>
      <c r="AA54" s="131"/>
      <c r="AB54" s="131"/>
      <c r="AC54" s="131"/>
      <c r="AD54" s="131"/>
      <c r="AE54" s="131"/>
      <c r="AF54" s="131"/>
      <c r="AG54" s="131"/>
      <c r="AH54" s="131"/>
      <c r="AI54" s="131"/>
      <c r="AJ54" s="131"/>
      <c r="AK54" s="131"/>
      <c r="AL54" s="131"/>
      <c r="AM54" s="131"/>
      <c r="AN54" s="131"/>
      <c r="AO54" s="131"/>
      <c r="AP54" s="131"/>
      <c r="AQ54" s="52"/>
      <c r="AR54" s="52"/>
      <c r="AS54" s="52"/>
      <c r="AT54" s="52"/>
      <c r="AU54" s="52"/>
      <c r="AV54" s="52"/>
    </row>
    <row r="55" spans="1:48" s="66" customFormat="1" ht="114.75">
      <c r="A55" s="10" t="s">
        <v>78</v>
      </c>
      <c r="B55" s="10"/>
      <c r="C55" s="10"/>
      <c r="D55" s="10" t="s">
        <v>97</v>
      </c>
      <c r="E55" s="10" t="s">
        <v>100</v>
      </c>
      <c r="F55" s="10" t="s">
        <v>18</v>
      </c>
      <c r="G55" s="10"/>
      <c r="H55" s="10" t="s">
        <v>468</v>
      </c>
      <c r="I55" s="10" t="s">
        <v>142</v>
      </c>
      <c r="J55" s="10" t="s">
        <v>257</v>
      </c>
      <c r="K55" s="10"/>
      <c r="L55" s="10"/>
      <c r="M55" s="248"/>
      <c r="N55" s="131"/>
      <c r="O55" s="131"/>
      <c r="P55" s="131"/>
      <c r="Q55" s="131"/>
      <c r="R55" s="131"/>
      <c r="S55" s="248"/>
      <c r="T55" s="131"/>
      <c r="U55" s="131"/>
      <c r="V55" s="131"/>
      <c r="W55" s="131"/>
      <c r="X55" s="131"/>
      <c r="Y55" s="131"/>
      <c r="Z55" s="131"/>
      <c r="AA55" s="131"/>
      <c r="AB55" s="131"/>
      <c r="AC55" s="131"/>
      <c r="AD55" s="131"/>
      <c r="AE55" s="131"/>
      <c r="AF55" s="131"/>
      <c r="AG55" s="131"/>
      <c r="AH55" s="131"/>
      <c r="AI55" s="131"/>
      <c r="AJ55" s="131"/>
      <c r="AK55" s="131"/>
      <c r="AL55" s="131"/>
      <c r="AM55" s="131"/>
      <c r="AN55" s="131"/>
      <c r="AO55" s="131"/>
      <c r="AP55" s="131"/>
      <c r="AQ55" s="8"/>
      <c r="AR55" s="8"/>
      <c r="AS55" s="8"/>
      <c r="AT55" s="8"/>
      <c r="AU55" s="8"/>
      <c r="AV55" s="8"/>
    </row>
    <row r="56" spans="1:48" s="66" customFormat="1" ht="153">
      <c r="A56" s="255" t="s">
        <v>462</v>
      </c>
      <c r="B56" s="10"/>
      <c r="C56" s="10"/>
      <c r="D56" s="10" t="s">
        <v>97</v>
      </c>
      <c r="E56" s="256" t="s">
        <v>464</v>
      </c>
      <c r="F56" s="10" t="s">
        <v>141</v>
      </c>
      <c r="G56" s="257" t="s">
        <v>466</v>
      </c>
      <c r="H56" s="10" t="s">
        <v>468</v>
      </c>
      <c r="I56" s="10" t="s">
        <v>142</v>
      </c>
      <c r="J56" s="10" t="s">
        <v>257</v>
      </c>
      <c r="K56" s="10"/>
      <c r="L56" s="10"/>
      <c r="M56" s="248"/>
      <c r="N56" s="131"/>
      <c r="O56" s="131"/>
      <c r="P56" s="131"/>
      <c r="Q56" s="131"/>
      <c r="R56" s="131"/>
      <c r="S56" s="248"/>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258"/>
      <c r="AR56" s="8"/>
      <c r="AS56" s="8"/>
      <c r="AT56" s="8"/>
      <c r="AU56" s="8"/>
      <c r="AV56" s="259"/>
    </row>
    <row r="57" spans="1:48" s="66" customFormat="1" ht="165.75">
      <c r="A57" s="255" t="s">
        <v>463</v>
      </c>
      <c r="B57" s="10"/>
      <c r="C57" s="10"/>
      <c r="D57" s="10" t="s">
        <v>97</v>
      </c>
      <c r="E57" s="256" t="s">
        <v>465</v>
      </c>
      <c r="F57" s="10" t="s">
        <v>141</v>
      </c>
      <c r="G57" s="257" t="s">
        <v>467</v>
      </c>
      <c r="H57" s="10" t="s">
        <v>468</v>
      </c>
      <c r="I57" s="10" t="s">
        <v>142</v>
      </c>
      <c r="J57" s="10" t="s">
        <v>257</v>
      </c>
      <c r="K57" s="10"/>
      <c r="L57" s="10"/>
      <c r="M57" s="248"/>
      <c r="N57" s="131"/>
      <c r="O57" s="131"/>
      <c r="P57" s="131"/>
      <c r="Q57" s="131"/>
      <c r="R57" s="131"/>
      <c r="S57" s="248"/>
      <c r="T57" s="131"/>
      <c r="U57" s="131"/>
      <c r="V57" s="131"/>
      <c r="W57" s="131"/>
      <c r="X57" s="131"/>
      <c r="Y57" s="131"/>
      <c r="Z57" s="131"/>
      <c r="AA57" s="131"/>
      <c r="AB57" s="131"/>
      <c r="AC57" s="131"/>
      <c r="AD57" s="131"/>
      <c r="AE57" s="131"/>
      <c r="AF57" s="131"/>
      <c r="AG57" s="131"/>
      <c r="AH57" s="131"/>
      <c r="AI57" s="131"/>
      <c r="AJ57" s="131"/>
      <c r="AK57" s="131"/>
      <c r="AL57" s="131"/>
      <c r="AM57" s="131"/>
      <c r="AN57" s="131"/>
      <c r="AO57" s="131"/>
      <c r="AP57" s="131"/>
      <c r="AQ57" s="239"/>
      <c r="AR57" s="228"/>
      <c r="AS57" s="228"/>
      <c r="AT57" s="228"/>
      <c r="AU57" s="228"/>
      <c r="AV57" s="240"/>
    </row>
    <row r="58" spans="1:48" s="66" customFormat="1" ht="102">
      <c r="A58" s="10" t="s">
        <v>79</v>
      </c>
      <c r="B58" s="10"/>
      <c r="C58" s="10"/>
      <c r="D58" s="10" t="s">
        <v>98</v>
      </c>
      <c r="E58" s="10" t="s">
        <v>101</v>
      </c>
      <c r="F58" s="10" t="s">
        <v>18</v>
      </c>
      <c r="G58" s="10"/>
      <c r="H58" s="10" t="s">
        <v>118</v>
      </c>
      <c r="I58" s="10" t="s">
        <v>142</v>
      </c>
      <c r="J58" s="10" t="s">
        <v>257</v>
      </c>
      <c r="K58" s="10"/>
      <c r="L58" s="10"/>
      <c r="M58" s="248"/>
      <c r="N58" s="131"/>
      <c r="O58" s="131"/>
      <c r="P58" s="131"/>
      <c r="Q58" s="131"/>
      <c r="R58" s="131"/>
      <c r="S58" s="248"/>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239"/>
      <c r="AR58" s="228"/>
      <c r="AS58" s="228"/>
      <c r="AT58" s="228"/>
      <c r="AU58" s="228"/>
      <c r="AV58" s="240"/>
    </row>
    <row r="59" spans="1:48" s="66" customFormat="1" ht="127.5">
      <c r="A59" s="10" t="s">
        <v>80</v>
      </c>
      <c r="B59" s="10"/>
      <c r="C59" s="10"/>
      <c r="D59" s="10" t="s">
        <v>258</v>
      </c>
      <c r="E59" s="10" t="s">
        <v>102</v>
      </c>
      <c r="F59" s="10" t="s">
        <v>18</v>
      </c>
      <c r="G59" s="10"/>
      <c r="H59" s="10" t="s">
        <v>468</v>
      </c>
      <c r="I59" s="10" t="s">
        <v>142</v>
      </c>
      <c r="J59" s="10" t="s">
        <v>257</v>
      </c>
      <c r="K59" s="10"/>
      <c r="L59" s="10"/>
      <c r="M59" s="248"/>
      <c r="N59" s="131"/>
      <c r="O59" s="131"/>
      <c r="P59" s="131"/>
      <c r="Q59" s="131"/>
      <c r="R59" s="131"/>
      <c r="S59" s="248"/>
      <c r="T59" s="131"/>
      <c r="U59" s="131"/>
      <c r="V59" s="131"/>
      <c r="W59" s="131"/>
      <c r="X59" s="131"/>
      <c r="Y59" s="228"/>
      <c r="Z59" s="131"/>
      <c r="AA59" s="131"/>
      <c r="AB59" s="131"/>
      <c r="AC59" s="131"/>
      <c r="AD59" s="131"/>
      <c r="AE59" s="228"/>
      <c r="AF59" s="131"/>
      <c r="AG59" s="131"/>
      <c r="AH59" s="131"/>
      <c r="AI59" s="131"/>
      <c r="AJ59" s="131"/>
      <c r="AK59" s="131"/>
      <c r="AL59" s="131"/>
      <c r="AM59" s="131"/>
      <c r="AN59" s="131"/>
      <c r="AO59" s="131"/>
      <c r="AP59" s="131"/>
      <c r="AQ59" s="239"/>
      <c r="AR59" s="228"/>
      <c r="AS59" s="228"/>
      <c r="AT59" s="228"/>
      <c r="AU59" s="228"/>
      <c r="AV59" s="240"/>
    </row>
    <row r="60" spans="1:48" s="66" customFormat="1" ht="140.25">
      <c r="A60" s="10" t="s">
        <v>81</v>
      </c>
      <c r="B60" s="10"/>
      <c r="C60" s="10"/>
      <c r="D60" s="10" t="s">
        <v>97</v>
      </c>
      <c r="E60" s="10" t="s">
        <v>103</v>
      </c>
      <c r="F60" s="10" t="s">
        <v>141</v>
      </c>
      <c r="G60" s="10" t="s">
        <v>120</v>
      </c>
      <c r="H60" s="10" t="s">
        <v>468</v>
      </c>
      <c r="I60" s="10" t="s">
        <v>142</v>
      </c>
      <c r="J60" s="10"/>
      <c r="K60" s="10"/>
      <c r="L60" s="10"/>
      <c r="M60" s="248"/>
      <c r="N60" s="131"/>
      <c r="O60" s="131"/>
      <c r="P60" s="131"/>
      <c r="Q60" s="131"/>
      <c r="R60" s="131"/>
      <c r="S60" s="248"/>
      <c r="T60" s="131"/>
      <c r="U60" s="131"/>
      <c r="V60" s="131"/>
      <c r="W60" s="131"/>
      <c r="X60" s="131"/>
      <c r="Y60" s="131"/>
      <c r="Z60" s="131"/>
      <c r="AA60" s="131"/>
      <c r="AB60" s="131"/>
      <c r="AC60" s="131"/>
      <c r="AD60" s="131"/>
      <c r="AE60" s="131"/>
      <c r="AF60" s="131"/>
      <c r="AG60" s="131"/>
      <c r="AH60" s="131"/>
      <c r="AI60" s="131"/>
      <c r="AJ60" s="131"/>
      <c r="AK60" s="131"/>
      <c r="AL60" s="131"/>
      <c r="AM60" s="131"/>
      <c r="AN60" s="131"/>
      <c r="AO60" s="131"/>
      <c r="AP60" s="131"/>
      <c r="AQ60" s="239"/>
      <c r="AR60" s="228"/>
      <c r="AS60" s="228"/>
      <c r="AT60" s="228"/>
      <c r="AU60" s="228"/>
      <c r="AV60" s="240"/>
    </row>
    <row r="61" spans="1:48" s="66" customFormat="1" ht="51">
      <c r="A61" s="10" t="s">
        <v>82</v>
      </c>
      <c r="B61" s="10"/>
      <c r="C61" s="10"/>
      <c r="D61" s="10" t="s">
        <v>97</v>
      </c>
      <c r="E61" s="10" t="s">
        <v>104</v>
      </c>
      <c r="F61" s="10" t="s">
        <v>18</v>
      </c>
      <c r="G61" s="10"/>
      <c r="H61" s="10" t="s">
        <v>118</v>
      </c>
      <c r="I61" s="10" t="s">
        <v>142</v>
      </c>
      <c r="J61" s="10" t="s">
        <v>259</v>
      </c>
      <c r="K61" s="10"/>
      <c r="L61" s="10"/>
      <c r="M61" s="249">
        <v>1493233</v>
      </c>
      <c r="N61" s="131"/>
      <c r="O61" s="131"/>
      <c r="P61" s="131"/>
      <c r="Q61" s="131"/>
      <c r="R61" s="131">
        <v>1493233</v>
      </c>
      <c r="S61" s="249">
        <v>1699990.0000000007</v>
      </c>
      <c r="T61" s="131"/>
      <c r="U61" s="131"/>
      <c r="V61" s="131"/>
      <c r="W61" s="131"/>
      <c r="X61" s="131">
        <v>1699990.0000000007</v>
      </c>
      <c r="Y61" s="231">
        <v>0</v>
      </c>
      <c r="Z61" s="131"/>
      <c r="AA61" s="131"/>
      <c r="AB61" s="131"/>
      <c r="AC61" s="131"/>
      <c r="AD61" s="131">
        <v>0</v>
      </c>
      <c r="AE61" s="231">
        <v>0</v>
      </c>
      <c r="AF61" s="131"/>
      <c r="AG61" s="131"/>
      <c r="AH61" s="131"/>
      <c r="AI61" s="131"/>
      <c r="AJ61" s="131">
        <v>0</v>
      </c>
      <c r="AK61" s="131">
        <v>3193223.0000000009</v>
      </c>
      <c r="AL61" s="131">
        <v>0</v>
      </c>
      <c r="AM61" s="131">
        <v>0</v>
      </c>
      <c r="AN61" s="131">
        <v>0</v>
      </c>
      <c r="AO61" s="131">
        <v>0</v>
      </c>
      <c r="AP61" s="131">
        <v>3193223.0000000009</v>
      </c>
      <c r="AQ61" s="239"/>
      <c r="AR61" s="228"/>
      <c r="AS61" s="228"/>
      <c r="AT61" s="228"/>
      <c r="AU61" s="228"/>
      <c r="AV61" s="240"/>
    </row>
    <row r="62" spans="1:48" s="66" customFormat="1" ht="76.5">
      <c r="A62" s="10" t="s">
        <v>83</v>
      </c>
      <c r="B62" s="10"/>
      <c r="C62" s="10"/>
      <c r="D62" s="10" t="s">
        <v>97</v>
      </c>
      <c r="E62" s="10" t="s">
        <v>105</v>
      </c>
      <c r="F62" s="10" t="s">
        <v>18</v>
      </c>
      <c r="G62" s="10"/>
      <c r="H62" s="10" t="s">
        <v>118</v>
      </c>
      <c r="I62" s="10" t="s">
        <v>142</v>
      </c>
      <c r="J62" s="10" t="s">
        <v>260</v>
      </c>
      <c r="K62" s="10"/>
      <c r="L62" s="10"/>
      <c r="M62" s="131">
        <v>645009</v>
      </c>
      <c r="N62" s="131"/>
      <c r="O62" s="131"/>
      <c r="P62" s="131"/>
      <c r="Q62" s="131"/>
      <c r="R62" s="131">
        <v>645009</v>
      </c>
      <c r="S62" s="131">
        <v>2565923.8948100652</v>
      </c>
      <c r="T62" s="131"/>
      <c r="U62" s="131"/>
      <c r="V62" s="131"/>
      <c r="W62" s="131"/>
      <c r="X62" s="131">
        <v>2565923.8948100652</v>
      </c>
      <c r="Y62" s="131">
        <v>1479744.95526</v>
      </c>
      <c r="Z62" s="131"/>
      <c r="AA62" s="131"/>
      <c r="AB62" s="131"/>
      <c r="AC62" s="131"/>
      <c r="AD62" s="131">
        <v>1479744.95526</v>
      </c>
      <c r="AE62" s="131">
        <v>4008764.49</v>
      </c>
      <c r="AF62" s="131"/>
      <c r="AG62" s="131"/>
      <c r="AH62" s="131"/>
      <c r="AI62" s="131"/>
      <c r="AJ62" s="131">
        <v>4008764.49</v>
      </c>
      <c r="AK62" s="131">
        <v>8699442.3400700651</v>
      </c>
      <c r="AL62" s="131">
        <v>0</v>
      </c>
      <c r="AM62" s="131">
        <v>0</v>
      </c>
      <c r="AN62" s="131">
        <v>0</v>
      </c>
      <c r="AO62" s="131">
        <v>0</v>
      </c>
      <c r="AP62" s="131">
        <v>8699442.3400700651</v>
      </c>
      <c r="AQ62" s="239"/>
      <c r="AR62" s="228"/>
      <c r="AS62" s="228"/>
      <c r="AT62" s="228"/>
      <c r="AU62" s="228"/>
      <c r="AV62" s="240"/>
    </row>
    <row r="63" spans="1:48" s="66" customFormat="1" ht="89.25">
      <c r="A63" s="10" t="s">
        <v>84</v>
      </c>
      <c r="B63" s="10"/>
      <c r="C63" s="10"/>
      <c r="D63" s="10" t="s">
        <v>97</v>
      </c>
      <c r="E63" s="10" t="s">
        <v>106</v>
      </c>
      <c r="F63" s="10" t="s">
        <v>18</v>
      </c>
      <c r="G63" s="10"/>
      <c r="H63" s="10" t="s">
        <v>468</v>
      </c>
      <c r="I63" s="10" t="s">
        <v>142</v>
      </c>
      <c r="J63" s="10"/>
      <c r="K63" s="10"/>
      <c r="L63" s="10"/>
      <c r="M63" s="131"/>
      <c r="N63" s="131"/>
      <c r="O63" s="131"/>
      <c r="P63" s="131"/>
      <c r="Q63" s="131"/>
      <c r="R63" s="131"/>
      <c r="S63" s="131"/>
      <c r="T63" s="131"/>
      <c r="U63" s="131"/>
      <c r="V63" s="131"/>
      <c r="W63" s="131"/>
      <c r="X63" s="131"/>
      <c r="Y63" s="229"/>
      <c r="Z63" s="131"/>
      <c r="AA63" s="131"/>
      <c r="AB63" s="131"/>
      <c r="AC63" s="131"/>
      <c r="AD63" s="131"/>
      <c r="AE63" s="131"/>
      <c r="AF63" s="131"/>
      <c r="AG63" s="131"/>
      <c r="AH63" s="131"/>
      <c r="AI63" s="131"/>
      <c r="AJ63" s="131"/>
      <c r="AK63" s="131"/>
      <c r="AL63" s="131"/>
      <c r="AM63" s="131"/>
      <c r="AN63" s="131"/>
      <c r="AO63" s="131"/>
      <c r="AP63" s="131"/>
      <c r="AQ63" s="239"/>
      <c r="AR63" s="228"/>
      <c r="AS63" s="228"/>
      <c r="AT63" s="228"/>
      <c r="AU63" s="228"/>
      <c r="AV63" s="240"/>
    </row>
    <row r="64" spans="1:48" s="66" customFormat="1" ht="165.75">
      <c r="A64" s="10" t="s">
        <v>85</v>
      </c>
      <c r="B64" s="10"/>
      <c r="C64" s="10"/>
      <c r="D64" s="10" t="s">
        <v>97</v>
      </c>
      <c r="E64" s="10" t="s">
        <v>107</v>
      </c>
      <c r="F64" s="10" t="s">
        <v>18</v>
      </c>
      <c r="G64" s="10"/>
      <c r="H64" s="10" t="s">
        <v>118</v>
      </c>
      <c r="I64" s="10" t="s">
        <v>142</v>
      </c>
      <c r="J64" s="10"/>
      <c r="K64" s="10"/>
      <c r="L64" s="10"/>
      <c r="M64" s="131">
        <v>87120</v>
      </c>
      <c r="N64" s="131"/>
      <c r="O64" s="131"/>
      <c r="P64" s="131"/>
      <c r="Q64" s="131"/>
      <c r="R64" s="131">
        <v>87120</v>
      </c>
      <c r="S64" s="131">
        <v>1034780.128</v>
      </c>
      <c r="T64" s="131"/>
      <c r="U64" s="131"/>
      <c r="V64" s="131"/>
      <c r="W64" s="131"/>
      <c r="X64" s="131">
        <v>1034780.128</v>
      </c>
      <c r="Y64" s="228">
        <v>1076171.3331199999</v>
      </c>
      <c r="Z64" s="131"/>
      <c r="AA64" s="131"/>
      <c r="AB64" s="131"/>
      <c r="AC64" s="131"/>
      <c r="AD64" s="131">
        <v>1076171.3331199999</v>
      </c>
      <c r="AE64" s="228">
        <v>1119218.1864447999</v>
      </c>
      <c r="AF64" s="131"/>
      <c r="AG64" s="131"/>
      <c r="AH64" s="131"/>
      <c r="AI64" s="131"/>
      <c r="AJ64" s="131">
        <v>1119218.1864447999</v>
      </c>
      <c r="AK64" s="131">
        <v>3317289.6475648</v>
      </c>
      <c r="AL64" s="131">
        <v>0</v>
      </c>
      <c r="AM64" s="131">
        <v>0</v>
      </c>
      <c r="AN64" s="131">
        <v>0</v>
      </c>
      <c r="AO64" s="131">
        <v>0</v>
      </c>
      <c r="AP64" s="131">
        <v>3317289.6475648</v>
      </c>
      <c r="AQ64" s="239"/>
      <c r="AR64" s="228"/>
      <c r="AS64" s="228"/>
      <c r="AT64" s="228"/>
      <c r="AU64" s="228"/>
      <c r="AV64" s="240"/>
    </row>
    <row r="65" spans="1:48" s="66" customFormat="1" ht="153">
      <c r="A65" s="10" t="s">
        <v>86</v>
      </c>
      <c r="B65" s="10"/>
      <c r="C65" s="10"/>
      <c r="D65" s="10" t="s">
        <v>97</v>
      </c>
      <c r="E65" s="10" t="s">
        <v>108</v>
      </c>
      <c r="F65" s="10" t="s">
        <v>18</v>
      </c>
      <c r="G65" s="10"/>
      <c r="H65" s="10" t="s">
        <v>118</v>
      </c>
      <c r="I65" s="10" t="s">
        <v>142</v>
      </c>
      <c r="J65" s="10"/>
      <c r="K65" s="10"/>
      <c r="L65" s="10"/>
      <c r="M65" s="131">
        <v>1000000</v>
      </c>
      <c r="N65" s="131"/>
      <c r="O65" s="131"/>
      <c r="P65" s="131"/>
      <c r="Q65" s="131"/>
      <c r="R65" s="131">
        <v>1000000</v>
      </c>
      <c r="S65" s="131">
        <v>1000000</v>
      </c>
      <c r="T65" s="131"/>
      <c r="U65" s="131"/>
      <c r="V65" s="131"/>
      <c r="W65" s="131"/>
      <c r="X65" s="131">
        <v>1000000</v>
      </c>
      <c r="Y65" s="228">
        <v>1040000</v>
      </c>
      <c r="Z65" s="131"/>
      <c r="AA65" s="131"/>
      <c r="AB65" s="131"/>
      <c r="AC65" s="131"/>
      <c r="AD65" s="131">
        <v>1040000</v>
      </c>
      <c r="AE65" s="228">
        <v>1081600</v>
      </c>
      <c r="AF65" s="131"/>
      <c r="AG65" s="131"/>
      <c r="AH65" s="131"/>
      <c r="AI65" s="131"/>
      <c r="AJ65" s="131">
        <v>1081600</v>
      </c>
      <c r="AK65" s="131">
        <v>4121600</v>
      </c>
      <c r="AL65" s="131">
        <v>0</v>
      </c>
      <c r="AM65" s="131">
        <v>0</v>
      </c>
      <c r="AN65" s="131">
        <v>0</v>
      </c>
      <c r="AO65" s="131">
        <v>0</v>
      </c>
      <c r="AP65" s="131">
        <v>4121600</v>
      </c>
      <c r="AQ65" s="239"/>
      <c r="AR65" s="228"/>
      <c r="AS65" s="228"/>
      <c r="AT65" s="228"/>
      <c r="AU65" s="228"/>
      <c r="AV65" s="240"/>
    </row>
    <row r="66" spans="1:48" s="66" customFormat="1" ht="51">
      <c r="A66" s="10" t="s">
        <v>87</v>
      </c>
      <c r="B66" s="10"/>
      <c r="C66" s="10"/>
      <c r="D66" s="10" t="s">
        <v>97</v>
      </c>
      <c r="E66" s="10" t="s">
        <v>109</v>
      </c>
      <c r="F66" s="10" t="s">
        <v>18</v>
      </c>
      <c r="G66" s="10"/>
      <c r="H66" s="10" t="s">
        <v>118</v>
      </c>
      <c r="I66" s="10" t="s">
        <v>142</v>
      </c>
      <c r="J66" s="10" t="s">
        <v>261</v>
      </c>
      <c r="K66" s="10"/>
      <c r="L66" s="10"/>
      <c r="M66" s="228">
        <v>1680344</v>
      </c>
      <c r="N66" s="131"/>
      <c r="O66" s="131"/>
      <c r="P66" s="131"/>
      <c r="Q66" s="131"/>
      <c r="R66" s="131">
        <v>1680344</v>
      </c>
      <c r="S66" s="229">
        <v>1078230</v>
      </c>
      <c r="T66" s="131"/>
      <c r="U66" s="131"/>
      <c r="V66" s="131"/>
      <c r="W66" s="131"/>
      <c r="X66" s="131">
        <v>1078230</v>
      </c>
      <c r="Y66" s="228">
        <v>1121359.2</v>
      </c>
      <c r="Z66" s="131"/>
      <c r="AA66" s="131"/>
      <c r="AB66" s="131"/>
      <c r="AC66" s="131"/>
      <c r="AD66" s="131">
        <v>1121359.2</v>
      </c>
      <c r="AE66" s="228">
        <v>1166213.568</v>
      </c>
      <c r="AF66" s="131"/>
      <c r="AG66" s="131"/>
      <c r="AH66" s="131"/>
      <c r="AI66" s="131"/>
      <c r="AJ66" s="131">
        <v>1166213.568</v>
      </c>
      <c r="AK66" s="131">
        <v>5046146.7680000002</v>
      </c>
      <c r="AL66" s="131">
        <v>0</v>
      </c>
      <c r="AM66" s="131">
        <v>0</v>
      </c>
      <c r="AN66" s="131">
        <v>0</v>
      </c>
      <c r="AO66" s="131">
        <v>0</v>
      </c>
      <c r="AP66" s="131">
        <v>5046146.7680000002</v>
      </c>
      <c r="AQ66" s="239"/>
      <c r="AR66" s="228"/>
      <c r="AS66" s="228"/>
      <c r="AT66" s="228"/>
      <c r="AU66" s="228"/>
      <c r="AV66" s="240"/>
    </row>
    <row r="67" spans="1:48" s="66" customFormat="1" ht="357">
      <c r="A67" s="10" t="s">
        <v>88</v>
      </c>
      <c r="B67" s="10"/>
      <c r="C67" s="10"/>
      <c r="D67" s="10" t="s">
        <v>97</v>
      </c>
      <c r="E67" s="10" t="s">
        <v>110</v>
      </c>
      <c r="F67" s="10" t="s">
        <v>18</v>
      </c>
      <c r="G67" s="10"/>
      <c r="H67" s="10" t="s">
        <v>118</v>
      </c>
      <c r="I67" s="10" t="s">
        <v>142</v>
      </c>
      <c r="J67" s="10" t="s">
        <v>262</v>
      </c>
      <c r="K67" s="10"/>
      <c r="L67" s="10"/>
      <c r="M67" s="131">
        <v>634747</v>
      </c>
      <c r="N67" s="131"/>
      <c r="O67" s="131"/>
      <c r="P67" s="131"/>
      <c r="Q67" s="131"/>
      <c r="R67" s="131">
        <v>634747</v>
      </c>
      <c r="S67" s="131">
        <v>634747</v>
      </c>
      <c r="T67" s="131"/>
      <c r="U67" s="131"/>
      <c r="V67" s="131"/>
      <c r="W67" s="131"/>
      <c r="X67" s="131">
        <v>634747</v>
      </c>
      <c r="Y67" s="131">
        <v>660136.88</v>
      </c>
      <c r="Z67" s="131"/>
      <c r="AA67" s="131"/>
      <c r="AB67" s="131"/>
      <c r="AC67" s="131"/>
      <c r="AD67" s="131">
        <v>660136.88</v>
      </c>
      <c r="AE67" s="131">
        <v>686542.35519999976</v>
      </c>
      <c r="AF67" s="131"/>
      <c r="AG67" s="131"/>
      <c r="AH67" s="131"/>
      <c r="AI67" s="131"/>
      <c r="AJ67" s="131">
        <v>686542.35519999976</v>
      </c>
      <c r="AK67" s="131">
        <v>2616173.2351999995</v>
      </c>
      <c r="AL67" s="131">
        <v>0</v>
      </c>
      <c r="AM67" s="131">
        <v>0</v>
      </c>
      <c r="AN67" s="131">
        <v>0</v>
      </c>
      <c r="AO67" s="131">
        <v>0</v>
      </c>
      <c r="AP67" s="131">
        <v>2616173.2351999995</v>
      </c>
      <c r="AQ67" s="239"/>
      <c r="AR67" s="228"/>
      <c r="AS67" s="228"/>
      <c r="AT67" s="228"/>
      <c r="AU67" s="228"/>
      <c r="AV67" s="240"/>
    </row>
    <row r="68" spans="1:48" s="66" customFormat="1" ht="140.25">
      <c r="A68" s="10" t="s">
        <v>89</v>
      </c>
      <c r="B68" s="10"/>
      <c r="C68" s="10"/>
      <c r="D68" s="10" t="s">
        <v>97</v>
      </c>
      <c r="E68" s="10" t="s">
        <v>111</v>
      </c>
      <c r="F68" s="10" t="s">
        <v>18</v>
      </c>
      <c r="G68" s="10"/>
      <c r="H68" s="10" t="s">
        <v>118</v>
      </c>
      <c r="I68" s="10" t="s">
        <v>142</v>
      </c>
      <c r="J68" s="10" t="s">
        <v>263</v>
      </c>
      <c r="K68" s="10"/>
      <c r="L68" s="10"/>
      <c r="M68" s="131">
        <v>307422</v>
      </c>
      <c r="N68" s="131"/>
      <c r="O68" s="131"/>
      <c r="P68" s="131"/>
      <c r="Q68" s="131"/>
      <c r="R68" s="131">
        <v>307422</v>
      </c>
      <c r="S68" s="131">
        <v>315166</v>
      </c>
      <c r="T68" s="131"/>
      <c r="U68" s="131"/>
      <c r="V68" s="131"/>
      <c r="W68" s="131"/>
      <c r="X68" s="131">
        <v>315166</v>
      </c>
      <c r="Y68" s="131">
        <v>327772.64</v>
      </c>
      <c r="Z68" s="131"/>
      <c r="AA68" s="131"/>
      <c r="AB68" s="131"/>
      <c r="AC68" s="131"/>
      <c r="AD68" s="131">
        <v>327772.64</v>
      </c>
      <c r="AE68" s="131">
        <v>340883.54559999995</v>
      </c>
      <c r="AF68" s="131"/>
      <c r="AG68" s="131"/>
      <c r="AH68" s="131"/>
      <c r="AI68" s="131"/>
      <c r="AJ68" s="131">
        <v>340883.54559999995</v>
      </c>
      <c r="AK68" s="131">
        <v>1291244.1856</v>
      </c>
      <c r="AL68" s="131">
        <v>0</v>
      </c>
      <c r="AM68" s="131">
        <v>0</v>
      </c>
      <c r="AN68" s="131">
        <v>0</v>
      </c>
      <c r="AO68" s="131">
        <v>0</v>
      </c>
      <c r="AP68" s="131">
        <v>1291244.1856</v>
      </c>
      <c r="AQ68" s="239"/>
      <c r="AR68" s="228"/>
      <c r="AS68" s="228"/>
      <c r="AT68" s="228"/>
      <c r="AU68" s="228"/>
      <c r="AV68" s="240"/>
    </row>
    <row r="69" spans="1:48" s="66" customFormat="1" ht="229.5">
      <c r="A69" s="10" t="s">
        <v>90</v>
      </c>
      <c r="B69" s="10"/>
      <c r="C69" s="10"/>
      <c r="D69" s="10" t="s">
        <v>97</v>
      </c>
      <c r="E69" s="10" t="s">
        <v>112</v>
      </c>
      <c r="F69" s="10" t="s">
        <v>18</v>
      </c>
      <c r="G69" s="10"/>
      <c r="H69" s="10" t="s">
        <v>118</v>
      </c>
      <c r="I69" s="10" t="s">
        <v>142</v>
      </c>
      <c r="J69" s="10"/>
      <c r="K69" s="10"/>
      <c r="L69" s="10"/>
      <c r="M69" s="131"/>
      <c r="N69" s="131"/>
      <c r="O69" s="131"/>
      <c r="P69" s="131"/>
      <c r="Q69" s="131"/>
      <c r="R69" s="131"/>
      <c r="S69" s="131">
        <v>1900000</v>
      </c>
      <c r="T69" s="131"/>
      <c r="U69" s="131"/>
      <c r="V69" s="131"/>
      <c r="W69" s="131"/>
      <c r="X69" s="131">
        <v>1900000</v>
      </c>
      <c r="Y69" s="131">
        <v>1914509.2408</v>
      </c>
      <c r="Z69" s="131"/>
      <c r="AA69" s="131"/>
      <c r="AB69" s="131"/>
      <c r="AC69" s="131"/>
      <c r="AD69" s="131">
        <v>1914509.2408</v>
      </c>
      <c r="AE69" s="131">
        <v>1524749.1068160005</v>
      </c>
      <c r="AF69" s="131"/>
      <c r="AG69" s="131"/>
      <c r="AH69" s="131"/>
      <c r="AI69" s="131"/>
      <c r="AJ69" s="131">
        <v>1524749.1068160005</v>
      </c>
      <c r="AK69" s="131">
        <v>5339258.3476160001</v>
      </c>
      <c r="AL69" s="131">
        <v>0</v>
      </c>
      <c r="AM69" s="131">
        <v>0</v>
      </c>
      <c r="AN69" s="131">
        <v>0</v>
      </c>
      <c r="AO69" s="131">
        <v>0</v>
      </c>
      <c r="AP69" s="131">
        <v>5339258.3476160001</v>
      </c>
      <c r="AQ69" s="239"/>
      <c r="AR69" s="228"/>
      <c r="AS69" s="228"/>
      <c r="AT69" s="228"/>
      <c r="AU69" s="228"/>
      <c r="AV69" s="240"/>
    </row>
    <row r="70" spans="1:48" s="66" customFormat="1" ht="204">
      <c r="A70" s="10" t="s">
        <v>91</v>
      </c>
      <c r="B70" s="10"/>
      <c r="C70" s="10"/>
      <c r="D70" s="10" t="s">
        <v>97</v>
      </c>
      <c r="E70" s="10" t="s">
        <v>113</v>
      </c>
      <c r="F70" s="10" t="s">
        <v>18</v>
      </c>
      <c r="G70" s="10"/>
      <c r="H70" s="10" t="s">
        <v>118</v>
      </c>
      <c r="I70" s="10" t="s">
        <v>142</v>
      </c>
      <c r="J70" s="10" t="s">
        <v>264</v>
      </c>
      <c r="K70" s="10"/>
      <c r="L70" s="10"/>
      <c r="M70" s="131">
        <v>435248</v>
      </c>
      <c r="N70" s="131"/>
      <c r="O70" s="131"/>
      <c r="P70" s="131"/>
      <c r="Q70" s="131"/>
      <c r="R70" s="131">
        <v>435248</v>
      </c>
      <c r="S70" s="131">
        <v>117397</v>
      </c>
      <c r="T70" s="131"/>
      <c r="U70" s="131"/>
      <c r="V70" s="131"/>
      <c r="W70" s="131"/>
      <c r="X70" s="131">
        <v>117397</v>
      </c>
      <c r="Y70" s="131">
        <v>648092.21600000001</v>
      </c>
      <c r="Z70" s="131"/>
      <c r="AA70" s="131"/>
      <c r="AB70" s="131"/>
      <c r="AC70" s="131"/>
      <c r="AD70" s="131">
        <v>648092.21600000001</v>
      </c>
      <c r="AE70" s="131">
        <v>2458245.7310000001</v>
      </c>
      <c r="AF70" s="131"/>
      <c r="AG70" s="131"/>
      <c r="AH70" s="131"/>
      <c r="AI70" s="131"/>
      <c r="AJ70" s="131">
        <v>2458245.7310000001</v>
      </c>
      <c r="AK70" s="131">
        <v>3658982.9470000002</v>
      </c>
      <c r="AL70" s="131">
        <v>0</v>
      </c>
      <c r="AM70" s="131">
        <v>0</v>
      </c>
      <c r="AN70" s="131">
        <v>0</v>
      </c>
      <c r="AO70" s="131">
        <v>0</v>
      </c>
      <c r="AP70" s="131">
        <v>3658982.9470000002</v>
      </c>
      <c r="AQ70" s="241"/>
      <c r="AR70" s="228"/>
      <c r="AS70" s="228"/>
      <c r="AT70" s="232"/>
      <c r="AU70" s="232"/>
      <c r="AV70" s="242"/>
    </row>
    <row r="71" spans="1:48" s="66" customFormat="1" ht="102">
      <c r="A71" s="10" t="s">
        <v>92</v>
      </c>
      <c r="B71" s="10"/>
      <c r="C71" s="10"/>
      <c r="D71" s="10" t="s">
        <v>97</v>
      </c>
      <c r="E71" s="10" t="s">
        <v>114</v>
      </c>
      <c r="F71" s="10" t="s">
        <v>18</v>
      </c>
      <c r="G71" s="10"/>
      <c r="H71" s="10" t="s">
        <v>118</v>
      </c>
      <c r="I71" s="10" t="s">
        <v>142</v>
      </c>
      <c r="J71" s="10" t="s">
        <v>265</v>
      </c>
      <c r="K71" s="10"/>
      <c r="L71" s="10"/>
      <c r="M71" s="131">
        <v>1000000</v>
      </c>
      <c r="N71" s="131"/>
      <c r="O71" s="131"/>
      <c r="P71" s="131"/>
      <c r="Q71" s="131"/>
      <c r="R71" s="131">
        <v>1000000</v>
      </c>
      <c r="S71" s="131">
        <v>1499878.301</v>
      </c>
      <c r="T71" s="131"/>
      <c r="U71" s="131"/>
      <c r="V71" s="131"/>
      <c r="W71" s="131"/>
      <c r="X71" s="131">
        <v>1499878.301</v>
      </c>
      <c r="Y71" s="131">
        <v>1559873.43304</v>
      </c>
      <c r="Z71" s="131"/>
      <c r="AA71" s="131"/>
      <c r="AB71" s="131"/>
      <c r="AC71" s="131"/>
      <c r="AD71" s="131">
        <v>1559873.43304</v>
      </c>
      <c r="AE71" s="131">
        <v>1622268.3703616001</v>
      </c>
      <c r="AF71" s="131"/>
      <c r="AG71" s="131"/>
      <c r="AH71" s="131"/>
      <c r="AI71" s="131"/>
      <c r="AJ71" s="131">
        <v>1622268.3703616001</v>
      </c>
      <c r="AK71" s="131">
        <v>5682020.1044015996</v>
      </c>
      <c r="AL71" s="131">
        <v>0</v>
      </c>
      <c r="AM71" s="131">
        <v>0</v>
      </c>
      <c r="AN71" s="131">
        <v>0</v>
      </c>
      <c r="AO71" s="131">
        <v>0</v>
      </c>
      <c r="AP71" s="131">
        <v>5682020.1044015996</v>
      </c>
      <c r="AQ71" s="239"/>
      <c r="AR71" s="228"/>
      <c r="AS71" s="228"/>
      <c r="AT71" s="228"/>
      <c r="AU71" s="228"/>
      <c r="AV71" s="240"/>
    </row>
    <row r="72" spans="1:48" s="66" customFormat="1" ht="127.5">
      <c r="A72" s="10" t="s">
        <v>93</v>
      </c>
      <c r="B72" s="10"/>
      <c r="C72" s="10"/>
      <c r="D72" s="10" t="s">
        <v>97</v>
      </c>
      <c r="E72" s="10" t="s">
        <v>115</v>
      </c>
      <c r="F72" s="308" t="s">
        <v>141</v>
      </c>
      <c r="G72" s="10"/>
      <c r="H72" s="10" t="s">
        <v>118</v>
      </c>
      <c r="I72" s="10" t="s">
        <v>142</v>
      </c>
      <c r="J72" s="10"/>
      <c r="K72" s="10"/>
      <c r="L72" s="10" t="s">
        <v>143</v>
      </c>
      <c r="M72" s="131"/>
      <c r="N72" s="131"/>
      <c r="O72" s="131"/>
      <c r="P72" s="131"/>
      <c r="Q72" s="131"/>
      <c r="R72" s="131">
        <v>0</v>
      </c>
      <c r="S72" s="131"/>
      <c r="T72" s="131"/>
      <c r="U72" s="131"/>
      <c r="V72" s="131">
        <v>1405139.4</v>
      </c>
      <c r="W72" s="131"/>
      <c r="X72" s="131">
        <v>1405139.4</v>
      </c>
      <c r="Y72" s="131"/>
      <c r="Z72" s="131"/>
      <c r="AA72" s="131"/>
      <c r="AB72" s="131">
        <v>2094002.4</v>
      </c>
      <c r="AC72" s="131"/>
      <c r="AD72" s="131">
        <v>2094002.4</v>
      </c>
      <c r="AE72" s="131"/>
      <c r="AF72" s="131"/>
      <c r="AG72" s="131"/>
      <c r="AH72" s="131">
        <v>1201197.8999999999</v>
      </c>
      <c r="AI72" s="131"/>
      <c r="AJ72" s="131">
        <v>1201197.8999999999</v>
      </c>
      <c r="AK72" s="131">
        <v>0</v>
      </c>
      <c r="AL72" s="131">
        <v>0</v>
      </c>
      <c r="AM72" s="131">
        <v>0</v>
      </c>
      <c r="AN72" s="131">
        <v>4700339.6999999993</v>
      </c>
      <c r="AO72" s="131">
        <v>0</v>
      </c>
      <c r="AP72" s="131">
        <v>4700339.6999999993</v>
      </c>
      <c r="AQ72" s="239"/>
      <c r="AR72" s="228"/>
      <c r="AS72" s="228"/>
      <c r="AT72" s="228">
        <v>4699279.2</v>
      </c>
      <c r="AU72" s="228"/>
      <c r="AV72" s="240">
        <f>+AU72+AT72+AS72+AR72+AQ72</f>
        <v>4699279.2</v>
      </c>
    </row>
    <row r="73" spans="1:48" s="66" customFormat="1" ht="127.5">
      <c r="A73" s="10" t="s">
        <v>94</v>
      </c>
      <c r="B73" s="10"/>
      <c r="C73" s="10"/>
      <c r="D73" s="10" t="s">
        <v>97</v>
      </c>
      <c r="E73" s="10" t="s">
        <v>116</v>
      </c>
      <c r="F73" s="10" t="s">
        <v>121</v>
      </c>
      <c r="G73" s="10" t="s">
        <v>122</v>
      </c>
      <c r="H73" s="10" t="s">
        <v>118</v>
      </c>
      <c r="I73" s="10" t="s">
        <v>142</v>
      </c>
      <c r="J73" s="10"/>
      <c r="K73" s="10"/>
      <c r="L73" s="10"/>
      <c r="M73" s="131"/>
      <c r="N73" s="131"/>
      <c r="O73" s="131"/>
      <c r="P73" s="131">
        <v>654500</v>
      </c>
      <c r="Q73" s="131"/>
      <c r="R73" s="131">
        <v>654500</v>
      </c>
      <c r="S73" s="131"/>
      <c r="T73" s="131"/>
      <c r="U73" s="131"/>
      <c r="V73" s="131">
        <v>654500</v>
      </c>
      <c r="W73" s="131"/>
      <c r="X73" s="131">
        <v>654500</v>
      </c>
      <c r="Y73" s="131"/>
      <c r="Z73" s="131"/>
      <c r="AA73" s="131"/>
      <c r="AB73" s="131">
        <v>654500</v>
      </c>
      <c r="AC73" s="131"/>
      <c r="AD73" s="131">
        <v>654500</v>
      </c>
      <c r="AE73" s="131"/>
      <c r="AF73" s="131"/>
      <c r="AG73" s="131"/>
      <c r="AH73" s="131">
        <v>654500</v>
      </c>
      <c r="AI73" s="131"/>
      <c r="AJ73" s="131">
        <v>654500</v>
      </c>
      <c r="AK73" s="131">
        <v>0</v>
      </c>
      <c r="AL73" s="131">
        <v>0</v>
      </c>
      <c r="AM73" s="131">
        <v>0</v>
      </c>
      <c r="AN73" s="131">
        <v>2618000</v>
      </c>
      <c r="AO73" s="131">
        <v>0</v>
      </c>
      <c r="AP73" s="131">
        <v>2618000</v>
      </c>
      <c r="AQ73" s="239"/>
      <c r="AR73" s="228"/>
      <c r="AS73" s="228"/>
      <c r="AT73" s="228">
        <v>654500</v>
      </c>
      <c r="AU73" s="228"/>
      <c r="AV73" s="240">
        <f>+AU73+AT73+AS73+AR73+AQ73</f>
        <v>654500</v>
      </c>
    </row>
    <row r="74" spans="1:48" s="66" customFormat="1" ht="38.25">
      <c r="A74" s="10" t="s">
        <v>95</v>
      </c>
      <c r="B74" s="10"/>
      <c r="C74" s="10"/>
      <c r="D74" s="10"/>
      <c r="E74" s="10"/>
      <c r="F74" s="10"/>
      <c r="G74" s="10"/>
      <c r="H74" s="10"/>
      <c r="I74" s="10"/>
      <c r="J74" s="10"/>
      <c r="K74" s="10"/>
      <c r="L74" s="10"/>
      <c r="M74" s="131"/>
      <c r="N74" s="131"/>
      <c r="O74" s="131"/>
      <c r="P74" s="131"/>
      <c r="Q74" s="131"/>
      <c r="R74" s="131">
        <f>SUM(M74:Q74)</f>
        <v>0</v>
      </c>
      <c r="S74" s="131"/>
      <c r="T74" s="131"/>
      <c r="U74" s="131"/>
      <c r="V74" s="131"/>
      <c r="W74" s="131"/>
      <c r="X74" s="131">
        <f>SUM(S74:W74)</f>
        <v>0</v>
      </c>
      <c r="Y74" s="131"/>
      <c r="Z74" s="131"/>
      <c r="AA74" s="131"/>
      <c r="AB74" s="131"/>
      <c r="AC74" s="131"/>
      <c r="AD74" s="131">
        <f>SUM(Y74:AC74)</f>
        <v>0</v>
      </c>
      <c r="AE74" s="131"/>
      <c r="AF74" s="131"/>
      <c r="AG74" s="131"/>
      <c r="AH74" s="131"/>
      <c r="AI74" s="131"/>
      <c r="AJ74" s="131">
        <f>SUM(AE74:AI74)</f>
        <v>0</v>
      </c>
      <c r="AK74" s="131">
        <f>AE74+Y74+S74+M74</f>
        <v>0</v>
      </c>
      <c r="AL74" s="131">
        <f>AF74+Z74+T74+N74</f>
        <v>0</v>
      </c>
      <c r="AM74" s="131">
        <f>AG74+AA74+U74+O74</f>
        <v>0</v>
      </c>
      <c r="AN74" s="131">
        <f>AH74+AB74+V74+P74</f>
        <v>0</v>
      </c>
      <c r="AO74" s="131">
        <f>AI74+AC74+W74+Q74</f>
        <v>0</v>
      </c>
      <c r="AP74" s="131">
        <f>SUM(AK74:AO74)</f>
        <v>0</v>
      </c>
      <c r="AQ74" s="241"/>
      <c r="AR74" s="243"/>
      <c r="AS74" s="243"/>
      <c r="AT74" s="243"/>
      <c r="AU74" s="243"/>
      <c r="AV74" s="244"/>
    </row>
    <row r="75" spans="1:48" s="66" customFormat="1" ht="127.5">
      <c r="A75" s="10" t="s">
        <v>96</v>
      </c>
      <c r="B75" s="10"/>
      <c r="C75" s="10"/>
      <c r="D75" s="10" t="s">
        <v>97</v>
      </c>
      <c r="E75" s="10" t="s">
        <v>117</v>
      </c>
      <c r="F75" s="10" t="s">
        <v>18</v>
      </c>
      <c r="G75" s="10"/>
      <c r="H75" s="10" t="s">
        <v>118</v>
      </c>
      <c r="I75" s="10" t="s">
        <v>142</v>
      </c>
      <c r="J75" s="10" t="s">
        <v>266</v>
      </c>
      <c r="K75" s="10"/>
      <c r="L75" s="10"/>
      <c r="M75" s="131">
        <v>6973723</v>
      </c>
      <c r="N75" s="131"/>
      <c r="O75" s="131"/>
      <c r="P75" s="131"/>
      <c r="Q75" s="131"/>
      <c r="R75" s="131">
        <v>6973723</v>
      </c>
      <c r="S75" s="131">
        <v>7447066.4000000004</v>
      </c>
      <c r="T75" s="131"/>
      <c r="U75" s="131"/>
      <c r="V75" s="131"/>
      <c r="W75" s="131"/>
      <c r="X75" s="131">
        <v>7447066.4000000004</v>
      </c>
      <c r="Y75" s="131">
        <v>7744949.0559999999</v>
      </c>
      <c r="Z75" s="131"/>
      <c r="AA75" s="131"/>
      <c r="AB75" s="131"/>
      <c r="AC75" s="131"/>
      <c r="AD75" s="131">
        <v>7744949.0559999999</v>
      </c>
      <c r="AE75" s="131">
        <v>8054747.0182400011</v>
      </c>
      <c r="AF75" s="131"/>
      <c r="AG75" s="131"/>
      <c r="AH75" s="131"/>
      <c r="AI75" s="131"/>
      <c r="AJ75" s="131">
        <v>8054747.0182400011</v>
      </c>
      <c r="AK75" s="131">
        <v>30220485.474240001</v>
      </c>
      <c r="AL75" s="131">
        <v>0</v>
      </c>
      <c r="AM75" s="131">
        <v>0</v>
      </c>
      <c r="AN75" s="131">
        <v>0</v>
      </c>
      <c r="AO75" s="131">
        <v>0</v>
      </c>
      <c r="AP75" s="131">
        <v>30220485.474240001</v>
      </c>
      <c r="AQ75" s="239"/>
      <c r="AR75" s="228"/>
      <c r="AS75" s="228"/>
      <c r="AT75" s="228"/>
      <c r="AU75" s="228"/>
      <c r="AV75" s="240"/>
    </row>
    <row r="76" spans="1:48" s="66" customFormat="1" ht="28.5" customHeight="1">
      <c r="A76" s="132" t="s">
        <v>191</v>
      </c>
      <c r="B76" s="132"/>
      <c r="C76" s="132"/>
      <c r="D76" s="132"/>
      <c r="E76" s="132"/>
      <c r="F76" s="132"/>
      <c r="G76" s="132"/>
      <c r="H76" s="132"/>
      <c r="I76" s="132"/>
      <c r="J76" s="132"/>
      <c r="K76" s="132"/>
      <c r="L76" s="132"/>
      <c r="M76" s="133">
        <f>SUM(M53:M75)</f>
        <v>28856116.999999974</v>
      </c>
      <c r="N76" s="133">
        <f t="shared" ref="N76:AO76" si="10">SUM(N53:N75)</f>
        <v>0</v>
      </c>
      <c r="O76" s="133">
        <f t="shared" si="10"/>
        <v>0</v>
      </c>
      <c r="P76" s="133">
        <f t="shared" si="10"/>
        <v>654500</v>
      </c>
      <c r="Q76" s="133">
        <f t="shared" si="10"/>
        <v>0</v>
      </c>
      <c r="R76" s="133">
        <f t="shared" si="10"/>
        <v>29510616.999999974</v>
      </c>
      <c r="S76" s="133">
        <f t="shared" si="10"/>
        <v>27238093.723810069</v>
      </c>
      <c r="T76" s="133">
        <f t="shared" si="10"/>
        <v>0</v>
      </c>
      <c r="U76" s="133">
        <f t="shared" si="10"/>
        <v>0</v>
      </c>
      <c r="V76" s="133">
        <f t="shared" si="10"/>
        <v>2059639.4</v>
      </c>
      <c r="W76" s="133">
        <f t="shared" si="10"/>
        <v>0</v>
      </c>
      <c r="X76" s="133">
        <f t="shared" si="10"/>
        <v>29297733.123810068</v>
      </c>
      <c r="Y76" s="133">
        <f t="shared" si="10"/>
        <v>27476047.009730019</v>
      </c>
      <c r="Z76" s="133">
        <f t="shared" si="10"/>
        <v>0</v>
      </c>
      <c r="AA76" s="133">
        <f t="shared" si="10"/>
        <v>0</v>
      </c>
      <c r="AB76" s="133">
        <f t="shared" si="10"/>
        <v>2748502.4</v>
      </c>
      <c r="AC76" s="133">
        <f t="shared" si="10"/>
        <v>0</v>
      </c>
      <c r="AD76" s="133">
        <f t="shared" si="10"/>
        <v>30224549.409730017</v>
      </c>
      <c r="AE76" s="133">
        <f t="shared" si="10"/>
        <v>30027965.387514163</v>
      </c>
      <c r="AF76" s="133">
        <f t="shared" si="10"/>
        <v>0</v>
      </c>
      <c r="AG76" s="133">
        <f t="shared" si="10"/>
        <v>0</v>
      </c>
      <c r="AH76" s="133">
        <f t="shared" si="10"/>
        <v>1855697.9</v>
      </c>
      <c r="AI76" s="133">
        <f t="shared" si="10"/>
        <v>0</v>
      </c>
      <c r="AJ76" s="133">
        <f t="shared" si="10"/>
        <v>31883663.287514161</v>
      </c>
      <c r="AK76" s="133">
        <f t="shared" si="10"/>
        <v>113598223.12105422</v>
      </c>
      <c r="AL76" s="133">
        <f t="shared" si="10"/>
        <v>0</v>
      </c>
      <c r="AM76" s="133">
        <f t="shared" si="10"/>
        <v>0</v>
      </c>
      <c r="AN76" s="133">
        <f t="shared" si="10"/>
        <v>7318339.6999999993</v>
      </c>
      <c r="AO76" s="133">
        <f t="shared" si="10"/>
        <v>0</v>
      </c>
      <c r="AP76" s="133">
        <f>SUM(AP53:AP75)</f>
        <v>120916562.82105422</v>
      </c>
      <c r="AQ76" s="133">
        <f t="shared" ref="AQ76:AV76" si="11">SUM(AQ57:AQ75)</f>
        <v>0</v>
      </c>
      <c r="AR76" s="133">
        <f t="shared" si="11"/>
        <v>0</v>
      </c>
      <c r="AS76" s="133">
        <f t="shared" si="11"/>
        <v>0</v>
      </c>
      <c r="AT76" s="133">
        <f t="shared" si="11"/>
        <v>5353779.2000000002</v>
      </c>
      <c r="AU76" s="133">
        <f t="shared" si="11"/>
        <v>0</v>
      </c>
      <c r="AV76" s="133">
        <f t="shared" si="11"/>
        <v>5353779.2000000002</v>
      </c>
    </row>
    <row r="77" spans="1:48" s="66" customFormat="1" ht="28.5" customHeight="1">
      <c r="A77" s="132"/>
      <c r="B77" s="132"/>
      <c r="C77" s="132"/>
      <c r="D77" s="132"/>
      <c r="E77" s="132"/>
      <c r="F77" s="132"/>
      <c r="G77" s="132"/>
      <c r="H77" s="132"/>
      <c r="I77" s="132"/>
      <c r="J77" s="132"/>
      <c r="K77" s="132"/>
      <c r="L77" s="132"/>
      <c r="M77" s="133">
        <f>M76/1000</f>
        <v>28856.116999999973</v>
      </c>
      <c r="N77" s="133">
        <f t="shared" ref="N77:AV77" si="12">N76/1000</f>
        <v>0</v>
      </c>
      <c r="O77" s="133">
        <f t="shared" si="12"/>
        <v>0</v>
      </c>
      <c r="P77" s="133">
        <f t="shared" si="12"/>
        <v>654.5</v>
      </c>
      <c r="Q77" s="133">
        <f t="shared" si="12"/>
        <v>0</v>
      </c>
      <c r="R77" s="133">
        <f t="shared" si="12"/>
        <v>29510.616999999973</v>
      </c>
      <c r="S77" s="133">
        <f t="shared" si="12"/>
        <v>27238.093723810071</v>
      </c>
      <c r="T77" s="133">
        <f t="shared" si="12"/>
        <v>0</v>
      </c>
      <c r="U77" s="133">
        <f t="shared" si="12"/>
        <v>0</v>
      </c>
      <c r="V77" s="133">
        <f t="shared" si="12"/>
        <v>2059.6394</v>
      </c>
      <c r="W77" s="133">
        <f t="shared" si="12"/>
        <v>0</v>
      </c>
      <c r="X77" s="133">
        <f t="shared" si="12"/>
        <v>29297.733123810067</v>
      </c>
      <c r="Y77" s="133">
        <f t="shared" si="12"/>
        <v>27476.04700973002</v>
      </c>
      <c r="Z77" s="133">
        <f t="shared" si="12"/>
        <v>0</v>
      </c>
      <c r="AA77" s="133">
        <f t="shared" si="12"/>
        <v>0</v>
      </c>
      <c r="AB77" s="133">
        <f t="shared" si="12"/>
        <v>2748.5023999999999</v>
      </c>
      <c r="AC77" s="133">
        <f t="shared" si="12"/>
        <v>0</v>
      </c>
      <c r="AD77" s="133">
        <f t="shared" si="12"/>
        <v>30224.549409730018</v>
      </c>
      <c r="AE77" s="133">
        <f t="shared" si="12"/>
        <v>30027.965387514163</v>
      </c>
      <c r="AF77" s="133">
        <f t="shared" si="12"/>
        <v>0</v>
      </c>
      <c r="AG77" s="133">
        <f t="shared" si="12"/>
        <v>0</v>
      </c>
      <c r="AH77" s="133">
        <f t="shared" si="12"/>
        <v>1855.6978999999999</v>
      </c>
      <c r="AI77" s="133">
        <f t="shared" si="12"/>
        <v>0</v>
      </c>
      <c r="AJ77" s="133">
        <f t="shared" si="12"/>
        <v>31883.663287514162</v>
      </c>
      <c r="AK77" s="133">
        <f t="shared" si="12"/>
        <v>113598.22312105422</v>
      </c>
      <c r="AL77" s="133">
        <f t="shared" si="12"/>
        <v>0</v>
      </c>
      <c r="AM77" s="133">
        <f t="shared" si="12"/>
        <v>0</v>
      </c>
      <c r="AN77" s="133">
        <f t="shared" si="12"/>
        <v>7318.3396999999995</v>
      </c>
      <c r="AO77" s="133">
        <f t="shared" si="12"/>
        <v>0</v>
      </c>
      <c r="AP77" s="133">
        <f t="shared" si="12"/>
        <v>120916.56282105422</v>
      </c>
      <c r="AQ77" s="133">
        <f t="shared" si="12"/>
        <v>0</v>
      </c>
      <c r="AR77" s="133">
        <f t="shared" si="12"/>
        <v>0</v>
      </c>
      <c r="AS77" s="133">
        <f t="shared" si="12"/>
        <v>0</v>
      </c>
      <c r="AT77" s="133">
        <f t="shared" si="12"/>
        <v>5353.7791999999999</v>
      </c>
      <c r="AU77" s="133">
        <f t="shared" si="12"/>
        <v>0</v>
      </c>
      <c r="AV77" s="133">
        <f t="shared" si="12"/>
        <v>5353.7791999999999</v>
      </c>
    </row>
    <row r="78" spans="1:48" s="66" customFormat="1">
      <c r="A78" s="53" t="s">
        <v>60</v>
      </c>
      <c r="B78" s="54"/>
      <c r="C78" s="54"/>
      <c r="D78" s="53"/>
      <c r="E78" s="53"/>
      <c r="F78" s="64"/>
      <c r="G78" s="64"/>
      <c r="H78" s="53"/>
      <c r="I78" s="53"/>
      <c r="J78" s="53"/>
      <c r="K78" s="53"/>
      <c r="L78" s="53"/>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row>
    <row r="79" spans="1:48" s="66" customFormat="1" ht="25.5">
      <c r="A79" s="10" t="s">
        <v>269</v>
      </c>
      <c r="B79" s="10"/>
      <c r="C79" s="10"/>
      <c r="D79" s="10"/>
      <c r="E79" s="10"/>
      <c r="F79" s="10"/>
      <c r="G79" s="10"/>
      <c r="H79" s="10"/>
      <c r="I79" s="10"/>
      <c r="J79" s="10"/>
      <c r="K79" s="10"/>
      <c r="L79" s="10"/>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row>
    <row r="80" spans="1:48" s="66" customFormat="1" ht="25.5">
      <c r="A80" s="10" t="s">
        <v>270</v>
      </c>
      <c r="B80" s="10"/>
      <c r="C80" s="10"/>
      <c r="D80" s="10"/>
      <c r="E80" s="10"/>
      <c r="F80" s="10"/>
      <c r="G80" s="10"/>
      <c r="H80" s="10"/>
      <c r="I80" s="10"/>
      <c r="J80" s="10"/>
      <c r="K80" s="10"/>
      <c r="L80" s="10"/>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row>
    <row r="81" spans="1:42" s="66" customFormat="1" ht="38.25">
      <c r="A81" s="10" t="s">
        <v>46</v>
      </c>
      <c r="B81" s="10"/>
      <c r="C81" s="10"/>
      <c r="D81" s="10" t="s">
        <v>60</v>
      </c>
      <c r="E81" s="10" t="s">
        <v>271</v>
      </c>
      <c r="F81" s="10" t="s">
        <v>47</v>
      </c>
      <c r="G81" s="10"/>
      <c r="H81" s="10" t="s">
        <v>48</v>
      </c>
      <c r="I81" s="10" t="s">
        <v>272</v>
      </c>
      <c r="J81" s="10"/>
      <c r="K81" s="10"/>
      <c r="L81" s="10"/>
      <c r="M81" s="109">
        <v>1332958</v>
      </c>
      <c r="N81" s="110"/>
      <c r="O81" s="110"/>
      <c r="P81" s="110"/>
      <c r="Q81" s="110"/>
      <c r="R81" s="109">
        <f>SUM(M81:Q81)</f>
        <v>1332958</v>
      </c>
      <c r="S81" s="109">
        <v>1592191</v>
      </c>
      <c r="T81" s="110"/>
      <c r="U81" s="110"/>
      <c r="V81" s="110"/>
      <c r="W81" s="110"/>
      <c r="X81" s="109">
        <f>SUM(S81:W81)</f>
        <v>1592191</v>
      </c>
      <c r="Y81" s="109">
        <v>1636118</v>
      </c>
      <c r="Z81" s="110"/>
      <c r="AA81" s="110"/>
      <c r="AB81" s="110"/>
      <c r="AC81" s="110"/>
      <c r="AD81" s="109">
        <f>SUM(Y81:AC81)</f>
        <v>1636118</v>
      </c>
      <c r="AE81" s="109">
        <v>1231366</v>
      </c>
      <c r="AF81" s="110"/>
      <c r="AG81" s="110"/>
      <c r="AH81" s="110"/>
      <c r="AI81" s="110"/>
      <c r="AJ81" s="109">
        <f>SUM(AE81:AI81)</f>
        <v>1231366</v>
      </c>
      <c r="AK81" s="109">
        <f>M81+S81+Y81+AE81</f>
        <v>5792633</v>
      </c>
      <c r="AL81" s="109">
        <f>N81+T81+Z81+AF81</f>
        <v>0</v>
      </c>
      <c r="AM81" s="109">
        <f>O81+U81+AA81+AG81</f>
        <v>0</v>
      </c>
      <c r="AN81" s="109">
        <f>P81+V81+AB81+AH81</f>
        <v>0</v>
      </c>
      <c r="AO81" s="109">
        <f>Q81+W81+AC81+AI81</f>
        <v>0</v>
      </c>
      <c r="AP81" s="109">
        <f>SUM(AK81:AO81)</f>
        <v>5792633</v>
      </c>
    </row>
    <row r="82" spans="1:42" s="66" customFormat="1" ht="63.75">
      <c r="A82" s="10" t="s">
        <v>49</v>
      </c>
      <c r="B82" s="10"/>
      <c r="C82" s="10"/>
      <c r="D82" s="10" t="s">
        <v>60</v>
      </c>
      <c r="E82" s="10" t="s">
        <v>50</v>
      </c>
      <c r="F82" s="10" t="s">
        <v>595</v>
      </c>
      <c r="G82" s="10" t="s">
        <v>51</v>
      </c>
      <c r="H82" s="10" t="s">
        <v>48</v>
      </c>
      <c r="I82" s="10" t="s">
        <v>272</v>
      </c>
      <c r="J82" s="10"/>
      <c r="K82" s="10"/>
      <c r="L82" s="10"/>
      <c r="M82" s="131">
        <v>75000</v>
      </c>
      <c r="N82" s="131"/>
      <c r="O82" s="131"/>
      <c r="P82" s="131">
        <v>22500</v>
      </c>
      <c r="Q82" s="131">
        <v>100000</v>
      </c>
      <c r="R82" s="109">
        <f t="shared" ref="R82:R88" si="13">SUM(M82:Q82)</f>
        <v>197500</v>
      </c>
      <c r="S82" s="131">
        <v>75000</v>
      </c>
      <c r="T82" s="131"/>
      <c r="U82" s="131"/>
      <c r="V82" s="131">
        <v>1125000</v>
      </c>
      <c r="W82" s="131">
        <v>100000</v>
      </c>
      <c r="X82" s="109">
        <f t="shared" ref="X82:X88" si="14">SUM(S82:W82)</f>
        <v>1300000</v>
      </c>
      <c r="Y82" s="131">
        <v>75000</v>
      </c>
      <c r="Z82" s="131"/>
      <c r="AA82" s="131"/>
      <c r="AB82" s="131"/>
      <c r="AC82" s="131">
        <v>100000</v>
      </c>
      <c r="AD82" s="109">
        <f t="shared" ref="AD82:AD88" si="15">SUM(Y82:AC82)</f>
        <v>175000</v>
      </c>
      <c r="AE82" s="131">
        <v>75000</v>
      </c>
      <c r="AF82" s="131"/>
      <c r="AG82" s="131"/>
      <c r="AH82" s="131"/>
      <c r="AI82" s="131">
        <v>100000</v>
      </c>
      <c r="AJ82" s="109">
        <f t="shared" ref="AJ82:AJ88" si="16">SUM(AE82:AI82)</f>
        <v>175000</v>
      </c>
      <c r="AK82" s="109">
        <f t="shared" ref="AK82:AO88" si="17">M82+S82+Y82+AE82</f>
        <v>300000</v>
      </c>
      <c r="AL82" s="109">
        <f t="shared" si="17"/>
        <v>0</v>
      </c>
      <c r="AM82" s="109">
        <f t="shared" si="17"/>
        <v>0</v>
      </c>
      <c r="AN82" s="109">
        <f t="shared" si="17"/>
        <v>1147500</v>
      </c>
      <c r="AO82" s="109">
        <f t="shared" si="17"/>
        <v>400000</v>
      </c>
      <c r="AP82" s="109">
        <f t="shared" ref="AP82:AP88" si="18">SUM(AK82:AO82)</f>
        <v>1847500</v>
      </c>
    </row>
    <row r="83" spans="1:42" s="66" customFormat="1" ht="38.25">
      <c r="A83" s="10" t="s">
        <v>273</v>
      </c>
      <c r="B83" s="10"/>
      <c r="C83" s="10"/>
      <c r="D83" s="10"/>
      <c r="E83" s="10"/>
      <c r="F83" s="10"/>
      <c r="G83" s="10"/>
      <c r="H83" s="10"/>
      <c r="I83" s="10"/>
      <c r="J83" s="10"/>
      <c r="K83" s="10"/>
      <c r="L83" s="10"/>
      <c r="M83" s="131"/>
      <c r="N83" s="131"/>
      <c r="O83" s="131"/>
      <c r="P83" s="131"/>
      <c r="Q83" s="131"/>
      <c r="R83" s="109">
        <f t="shared" si="13"/>
        <v>0</v>
      </c>
      <c r="S83" s="131"/>
      <c r="T83" s="131"/>
      <c r="U83" s="131"/>
      <c r="V83" s="131"/>
      <c r="W83" s="131"/>
      <c r="X83" s="109">
        <f t="shared" si="14"/>
        <v>0</v>
      </c>
      <c r="Y83" s="131"/>
      <c r="Z83" s="131"/>
      <c r="AA83" s="131"/>
      <c r="AB83" s="131"/>
      <c r="AC83" s="131"/>
      <c r="AD83" s="109">
        <f t="shared" si="15"/>
        <v>0</v>
      </c>
      <c r="AE83" s="131"/>
      <c r="AF83" s="131"/>
      <c r="AG83" s="131"/>
      <c r="AH83" s="131"/>
      <c r="AI83" s="131"/>
      <c r="AJ83" s="109">
        <f t="shared" si="16"/>
        <v>0</v>
      </c>
      <c r="AK83" s="109">
        <f t="shared" si="17"/>
        <v>0</v>
      </c>
      <c r="AL83" s="109">
        <f t="shared" si="17"/>
        <v>0</v>
      </c>
      <c r="AM83" s="109">
        <f t="shared" si="17"/>
        <v>0</v>
      </c>
      <c r="AN83" s="109">
        <f t="shared" si="17"/>
        <v>0</v>
      </c>
      <c r="AO83" s="109">
        <f t="shared" si="17"/>
        <v>0</v>
      </c>
      <c r="AP83" s="109">
        <f t="shared" si="18"/>
        <v>0</v>
      </c>
    </row>
    <row r="84" spans="1:42" s="66" customFormat="1" ht="38.25">
      <c r="A84" s="10" t="s">
        <v>52</v>
      </c>
      <c r="B84" s="10"/>
      <c r="C84" s="10"/>
      <c r="D84" s="10"/>
      <c r="E84" s="10"/>
      <c r="F84" s="10"/>
      <c r="G84" s="10"/>
      <c r="H84" s="10"/>
      <c r="I84" s="10"/>
      <c r="J84" s="10"/>
      <c r="K84" s="10"/>
      <c r="L84" s="10"/>
      <c r="M84" s="131"/>
      <c r="N84" s="131"/>
      <c r="O84" s="131"/>
      <c r="P84" s="131"/>
      <c r="Q84" s="131"/>
      <c r="R84" s="109">
        <f t="shared" si="13"/>
        <v>0</v>
      </c>
      <c r="S84" s="131"/>
      <c r="T84" s="131"/>
      <c r="U84" s="131"/>
      <c r="V84" s="131"/>
      <c r="W84" s="131"/>
      <c r="X84" s="109">
        <f t="shared" si="14"/>
        <v>0</v>
      </c>
      <c r="Y84" s="131"/>
      <c r="Z84" s="131"/>
      <c r="AA84" s="131"/>
      <c r="AB84" s="131"/>
      <c r="AC84" s="131"/>
      <c r="AD84" s="109">
        <f t="shared" si="15"/>
        <v>0</v>
      </c>
      <c r="AE84" s="131"/>
      <c r="AF84" s="131"/>
      <c r="AG84" s="131"/>
      <c r="AH84" s="131"/>
      <c r="AI84" s="131"/>
      <c r="AJ84" s="109">
        <f t="shared" si="16"/>
        <v>0</v>
      </c>
      <c r="AK84" s="109">
        <f t="shared" si="17"/>
        <v>0</v>
      </c>
      <c r="AL84" s="109">
        <f t="shared" si="17"/>
        <v>0</v>
      </c>
      <c r="AM84" s="109">
        <f t="shared" si="17"/>
        <v>0</v>
      </c>
      <c r="AN84" s="109">
        <f t="shared" si="17"/>
        <v>0</v>
      </c>
      <c r="AO84" s="109">
        <f t="shared" si="17"/>
        <v>0</v>
      </c>
      <c r="AP84" s="109">
        <f t="shared" si="18"/>
        <v>0</v>
      </c>
    </row>
    <row r="85" spans="1:42" s="66" customFormat="1" ht="51">
      <c r="A85" s="10" t="s">
        <v>53</v>
      </c>
      <c r="B85" s="10"/>
      <c r="C85" s="10"/>
      <c r="D85" s="10" t="s">
        <v>60</v>
      </c>
      <c r="E85" s="10" t="s">
        <v>54</v>
      </c>
      <c r="F85" s="10" t="s">
        <v>55</v>
      </c>
      <c r="G85" s="10" t="s">
        <v>274</v>
      </c>
      <c r="H85" s="10" t="s">
        <v>48</v>
      </c>
      <c r="I85" s="10" t="s">
        <v>275</v>
      </c>
      <c r="J85" s="10"/>
      <c r="K85" s="10"/>
      <c r="L85" s="10"/>
      <c r="M85" s="194">
        <v>1777083.5</v>
      </c>
      <c r="N85" s="194"/>
      <c r="O85" s="194"/>
      <c r="P85" s="194">
        <v>20500</v>
      </c>
      <c r="Q85" s="194">
        <v>50000</v>
      </c>
      <c r="R85" s="109">
        <f t="shared" si="13"/>
        <v>1847583.5</v>
      </c>
      <c r="S85" s="194">
        <v>1785000</v>
      </c>
      <c r="T85" s="194"/>
      <c r="U85" s="194"/>
      <c r="V85" s="194">
        <v>20500</v>
      </c>
      <c r="W85" s="194">
        <v>50000</v>
      </c>
      <c r="X85" s="109">
        <f t="shared" si="14"/>
        <v>1855500</v>
      </c>
      <c r="Y85" s="194">
        <v>1789250</v>
      </c>
      <c r="Z85" s="194"/>
      <c r="AA85" s="194"/>
      <c r="AB85" s="194">
        <v>20500</v>
      </c>
      <c r="AC85" s="194">
        <v>50000</v>
      </c>
      <c r="AD85" s="109">
        <f t="shared" si="15"/>
        <v>1859750</v>
      </c>
      <c r="AE85" s="194">
        <v>1793712.5</v>
      </c>
      <c r="AF85" s="194"/>
      <c r="AG85" s="194"/>
      <c r="AH85" s="194">
        <v>20500</v>
      </c>
      <c r="AI85" s="194">
        <v>50000</v>
      </c>
      <c r="AJ85" s="109">
        <f t="shared" si="16"/>
        <v>1864212.5</v>
      </c>
      <c r="AK85" s="195">
        <f t="shared" si="17"/>
        <v>7145046</v>
      </c>
      <c r="AL85" s="195">
        <f t="shared" si="17"/>
        <v>0</v>
      </c>
      <c r="AM85" s="195">
        <f t="shared" si="17"/>
        <v>0</v>
      </c>
      <c r="AN85" s="195">
        <f t="shared" si="17"/>
        <v>82000</v>
      </c>
      <c r="AO85" s="195">
        <f t="shared" si="17"/>
        <v>200000</v>
      </c>
      <c r="AP85" s="195">
        <f t="shared" si="18"/>
        <v>7427046</v>
      </c>
    </row>
    <row r="86" spans="1:42" s="66" customFormat="1" ht="38.25">
      <c r="A86" s="10" t="s">
        <v>276</v>
      </c>
      <c r="B86" s="10"/>
      <c r="C86" s="10"/>
      <c r="D86" s="10"/>
      <c r="E86" s="10"/>
      <c r="F86" s="10"/>
      <c r="G86" s="10"/>
      <c r="H86" s="10"/>
      <c r="I86" s="10"/>
      <c r="J86" s="10"/>
      <c r="K86" s="10"/>
      <c r="L86" s="10"/>
      <c r="M86" s="131"/>
      <c r="N86" s="131"/>
      <c r="O86" s="131"/>
      <c r="P86" s="131"/>
      <c r="Q86" s="131"/>
      <c r="R86" s="109">
        <f t="shared" si="13"/>
        <v>0</v>
      </c>
      <c r="S86" s="131"/>
      <c r="T86" s="131"/>
      <c r="U86" s="131"/>
      <c r="V86" s="131"/>
      <c r="W86" s="131"/>
      <c r="X86" s="109">
        <f t="shared" si="14"/>
        <v>0</v>
      </c>
      <c r="Y86" s="131"/>
      <c r="Z86" s="131"/>
      <c r="AA86" s="131"/>
      <c r="AB86" s="131"/>
      <c r="AC86" s="131"/>
      <c r="AD86" s="109">
        <f t="shared" si="15"/>
        <v>0</v>
      </c>
      <c r="AE86" s="131"/>
      <c r="AF86" s="131"/>
      <c r="AG86" s="131"/>
      <c r="AH86" s="131"/>
      <c r="AI86" s="131"/>
      <c r="AJ86" s="109">
        <f t="shared" si="16"/>
        <v>0</v>
      </c>
      <c r="AK86" s="109">
        <f t="shared" si="17"/>
        <v>0</v>
      </c>
      <c r="AL86" s="109">
        <f t="shared" si="17"/>
        <v>0</v>
      </c>
      <c r="AM86" s="109">
        <f t="shared" si="17"/>
        <v>0</v>
      </c>
      <c r="AN86" s="109">
        <f t="shared" si="17"/>
        <v>0</v>
      </c>
      <c r="AO86" s="109">
        <f t="shared" si="17"/>
        <v>0</v>
      </c>
      <c r="AP86" s="109">
        <f t="shared" si="18"/>
        <v>0</v>
      </c>
    </row>
    <row r="87" spans="1:42" s="66" customFormat="1" ht="38.25">
      <c r="A87" s="10" t="s">
        <v>52</v>
      </c>
      <c r="B87" s="10"/>
      <c r="C87" s="10"/>
      <c r="D87" s="10"/>
      <c r="E87" s="10"/>
      <c r="F87" s="10"/>
      <c r="G87" s="10"/>
      <c r="H87" s="10"/>
      <c r="I87" s="10"/>
      <c r="J87" s="10"/>
      <c r="K87" s="10"/>
      <c r="L87" s="10"/>
      <c r="M87" s="131"/>
      <c r="N87" s="131"/>
      <c r="O87" s="131"/>
      <c r="P87" s="131"/>
      <c r="Q87" s="131"/>
      <c r="R87" s="109">
        <f t="shared" si="13"/>
        <v>0</v>
      </c>
      <c r="S87" s="131"/>
      <c r="T87" s="131"/>
      <c r="U87" s="131"/>
      <c r="V87" s="131"/>
      <c r="W87" s="131"/>
      <c r="X87" s="109">
        <f t="shared" si="14"/>
        <v>0</v>
      </c>
      <c r="Y87" s="131"/>
      <c r="Z87" s="131"/>
      <c r="AA87" s="131"/>
      <c r="AB87" s="131"/>
      <c r="AC87" s="131"/>
      <c r="AD87" s="109">
        <f t="shared" si="15"/>
        <v>0</v>
      </c>
      <c r="AE87" s="131"/>
      <c r="AF87" s="131"/>
      <c r="AG87" s="131"/>
      <c r="AH87" s="131"/>
      <c r="AI87" s="131"/>
      <c r="AJ87" s="109">
        <f t="shared" si="16"/>
        <v>0</v>
      </c>
      <c r="AK87" s="109">
        <f t="shared" si="17"/>
        <v>0</v>
      </c>
      <c r="AL87" s="109">
        <f t="shared" si="17"/>
        <v>0</v>
      </c>
      <c r="AM87" s="109">
        <f t="shared" si="17"/>
        <v>0</v>
      </c>
      <c r="AN87" s="109">
        <f t="shared" si="17"/>
        <v>0</v>
      </c>
      <c r="AO87" s="109">
        <f t="shared" si="17"/>
        <v>0</v>
      </c>
      <c r="AP87" s="109">
        <f t="shared" si="18"/>
        <v>0</v>
      </c>
    </row>
    <row r="88" spans="1:42" s="66" customFormat="1" ht="25.5">
      <c r="A88" s="10" t="s">
        <v>56</v>
      </c>
      <c r="B88" s="10"/>
      <c r="C88" s="10"/>
      <c r="D88" s="10" t="s">
        <v>60</v>
      </c>
      <c r="E88" s="10" t="s">
        <v>57</v>
      </c>
      <c r="F88" s="10" t="s">
        <v>47</v>
      </c>
      <c r="G88" s="10"/>
      <c r="H88" s="10" t="s">
        <v>48</v>
      </c>
      <c r="I88" s="10" t="s">
        <v>277</v>
      </c>
      <c r="J88" s="10"/>
      <c r="K88" s="10"/>
      <c r="L88" s="10"/>
      <c r="M88" s="111">
        <v>47990</v>
      </c>
      <c r="N88" s="111"/>
      <c r="O88" s="111"/>
      <c r="P88" s="109">
        <v>203700</v>
      </c>
      <c r="Q88" s="111"/>
      <c r="R88" s="109">
        <f t="shared" si="13"/>
        <v>251690</v>
      </c>
      <c r="S88" s="111">
        <v>42950</v>
      </c>
      <c r="T88" s="111"/>
      <c r="U88" s="111"/>
      <c r="V88" s="111">
        <v>178500</v>
      </c>
      <c r="W88" s="111"/>
      <c r="X88" s="109">
        <f t="shared" si="14"/>
        <v>221450</v>
      </c>
      <c r="Y88" s="111">
        <v>42950</v>
      </c>
      <c r="Z88" s="111"/>
      <c r="AA88" s="111"/>
      <c r="AB88" s="111">
        <v>178500</v>
      </c>
      <c r="AC88" s="111"/>
      <c r="AD88" s="109">
        <f t="shared" si="15"/>
        <v>221450</v>
      </c>
      <c r="AE88" s="111">
        <v>41270</v>
      </c>
      <c r="AF88" s="111"/>
      <c r="AG88" s="111"/>
      <c r="AH88" s="111">
        <v>170100</v>
      </c>
      <c r="AI88" s="111"/>
      <c r="AJ88" s="109">
        <f t="shared" si="16"/>
        <v>211370</v>
      </c>
      <c r="AK88" s="109">
        <f t="shared" si="17"/>
        <v>175160</v>
      </c>
      <c r="AL88" s="109">
        <f t="shared" si="17"/>
        <v>0</v>
      </c>
      <c r="AM88" s="109">
        <f t="shared" si="17"/>
        <v>0</v>
      </c>
      <c r="AN88" s="109">
        <f t="shared" si="17"/>
        <v>730800</v>
      </c>
      <c r="AO88" s="109">
        <f t="shared" si="17"/>
        <v>0</v>
      </c>
      <c r="AP88" s="109">
        <f t="shared" si="18"/>
        <v>905960</v>
      </c>
    </row>
    <row r="89" spans="1:42" s="66" customFormat="1">
      <c r="A89" s="10" t="s">
        <v>58</v>
      </c>
      <c r="B89" s="10"/>
      <c r="C89" s="10"/>
      <c r="D89" s="10"/>
      <c r="E89" s="10"/>
      <c r="F89" s="10"/>
      <c r="G89" s="10"/>
      <c r="H89" s="10"/>
      <c r="I89" s="10"/>
      <c r="J89" s="10"/>
      <c r="K89" s="10"/>
      <c r="L89" s="10"/>
      <c r="M89" s="131"/>
      <c r="N89" s="131"/>
      <c r="O89" s="131"/>
      <c r="P89" s="131"/>
      <c r="Q89" s="131"/>
      <c r="R89" s="131"/>
      <c r="S89" s="131"/>
      <c r="T89" s="131"/>
      <c r="U89" s="131"/>
      <c r="V89" s="131"/>
      <c r="W89" s="131"/>
      <c r="X89" s="131"/>
      <c r="Y89" s="131"/>
      <c r="Z89" s="131"/>
      <c r="AA89" s="131"/>
      <c r="AB89" s="131"/>
      <c r="AC89" s="131"/>
      <c r="AD89" s="131"/>
      <c r="AE89" s="131"/>
      <c r="AF89" s="131"/>
      <c r="AG89" s="131"/>
      <c r="AH89" s="131"/>
      <c r="AI89" s="131"/>
      <c r="AJ89" s="131"/>
      <c r="AK89" s="131"/>
      <c r="AL89" s="131"/>
      <c r="AM89" s="131"/>
      <c r="AN89" s="131"/>
      <c r="AO89" s="131"/>
      <c r="AP89" s="131"/>
    </row>
    <row r="90" spans="1:42" s="66" customFormat="1">
      <c r="A90" s="132" t="s">
        <v>59</v>
      </c>
      <c r="B90" s="132"/>
      <c r="C90" s="132"/>
      <c r="D90" s="132"/>
      <c r="E90" s="132"/>
      <c r="F90" s="132"/>
      <c r="G90" s="132"/>
      <c r="H90" s="132"/>
      <c r="I90" s="132"/>
      <c r="J90" s="132"/>
      <c r="K90" s="132"/>
      <c r="L90" s="132"/>
      <c r="M90" s="133">
        <f>SUM(M81:M88)</f>
        <v>3233031.5</v>
      </c>
      <c r="N90" s="133">
        <f t="shared" ref="N90:AP90" si="19">SUM(N81:N88)</f>
        <v>0</v>
      </c>
      <c r="O90" s="133">
        <f t="shared" si="19"/>
        <v>0</v>
      </c>
      <c r="P90" s="133">
        <f t="shared" si="19"/>
        <v>246700</v>
      </c>
      <c r="Q90" s="133">
        <f t="shared" si="19"/>
        <v>150000</v>
      </c>
      <c r="R90" s="133">
        <f t="shared" si="19"/>
        <v>3629731.5</v>
      </c>
      <c r="S90" s="133">
        <f t="shared" si="19"/>
        <v>3495141</v>
      </c>
      <c r="T90" s="133">
        <f t="shared" si="19"/>
        <v>0</v>
      </c>
      <c r="U90" s="133">
        <f t="shared" si="19"/>
        <v>0</v>
      </c>
      <c r="V90" s="133">
        <f t="shared" si="19"/>
        <v>1324000</v>
      </c>
      <c r="W90" s="133">
        <f t="shared" si="19"/>
        <v>150000</v>
      </c>
      <c r="X90" s="133">
        <f t="shared" si="19"/>
        <v>4969141</v>
      </c>
      <c r="Y90" s="133">
        <f t="shared" si="19"/>
        <v>3543318</v>
      </c>
      <c r="Z90" s="133">
        <f t="shared" si="19"/>
        <v>0</v>
      </c>
      <c r="AA90" s="133">
        <f t="shared" si="19"/>
        <v>0</v>
      </c>
      <c r="AB90" s="133">
        <f t="shared" si="19"/>
        <v>199000</v>
      </c>
      <c r="AC90" s="133">
        <f t="shared" si="19"/>
        <v>150000</v>
      </c>
      <c r="AD90" s="133">
        <f t="shared" si="19"/>
        <v>3892318</v>
      </c>
      <c r="AE90" s="133">
        <f t="shared" si="19"/>
        <v>3141348.5</v>
      </c>
      <c r="AF90" s="133">
        <f t="shared" si="19"/>
        <v>0</v>
      </c>
      <c r="AG90" s="133">
        <f t="shared" si="19"/>
        <v>0</v>
      </c>
      <c r="AH90" s="133">
        <f t="shared" si="19"/>
        <v>190600</v>
      </c>
      <c r="AI90" s="133">
        <f t="shared" si="19"/>
        <v>150000</v>
      </c>
      <c r="AJ90" s="133">
        <f t="shared" si="19"/>
        <v>3481948.5</v>
      </c>
      <c r="AK90" s="133">
        <f t="shared" si="19"/>
        <v>13412839</v>
      </c>
      <c r="AL90" s="133">
        <f t="shared" si="19"/>
        <v>0</v>
      </c>
      <c r="AM90" s="133">
        <f t="shared" si="19"/>
        <v>0</v>
      </c>
      <c r="AN90" s="133">
        <f t="shared" si="19"/>
        <v>1960300</v>
      </c>
      <c r="AO90" s="133">
        <f t="shared" si="19"/>
        <v>600000</v>
      </c>
      <c r="AP90" s="133">
        <f t="shared" si="19"/>
        <v>15973139</v>
      </c>
    </row>
    <row r="91" spans="1:42" s="66" customFormat="1">
      <c r="A91" s="132"/>
      <c r="B91" s="132"/>
      <c r="C91" s="132"/>
      <c r="D91" s="132"/>
      <c r="E91" s="132"/>
      <c r="F91" s="132"/>
      <c r="G91" s="132"/>
      <c r="H91" s="132"/>
      <c r="I91" s="132"/>
      <c r="J91" s="132"/>
      <c r="K91" s="132"/>
      <c r="L91" s="132"/>
      <c r="M91" s="133">
        <f>M90/1000</f>
        <v>3233.0315000000001</v>
      </c>
      <c r="N91" s="133">
        <f t="shared" ref="N91:AP91" si="20">N90/1000</f>
        <v>0</v>
      </c>
      <c r="O91" s="133">
        <f t="shared" si="20"/>
        <v>0</v>
      </c>
      <c r="P91" s="133">
        <f t="shared" si="20"/>
        <v>246.7</v>
      </c>
      <c r="Q91" s="133">
        <f t="shared" si="20"/>
        <v>150</v>
      </c>
      <c r="R91" s="133">
        <f t="shared" si="20"/>
        <v>3629.7314999999999</v>
      </c>
      <c r="S91" s="133">
        <f t="shared" si="20"/>
        <v>3495.1410000000001</v>
      </c>
      <c r="T91" s="133">
        <f t="shared" si="20"/>
        <v>0</v>
      </c>
      <c r="U91" s="133">
        <f t="shared" si="20"/>
        <v>0</v>
      </c>
      <c r="V91" s="133">
        <f t="shared" si="20"/>
        <v>1324</v>
      </c>
      <c r="W91" s="133">
        <f t="shared" si="20"/>
        <v>150</v>
      </c>
      <c r="X91" s="133">
        <f t="shared" si="20"/>
        <v>4969.1409999999996</v>
      </c>
      <c r="Y91" s="133">
        <f t="shared" si="20"/>
        <v>3543.3180000000002</v>
      </c>
      <c r="Z91" s="133">
        <f t="shared" si="20"/>
        <v>0</v>
      </c>
      <c r="AA91" s="133">
        <f t="shared" si="20"/>
        <v>0</v>
      </c>
      <c r="AB91" s="133">
        <f t="shared" si="20"/>
        <v>199</v>
      </c>
      <c r="AC91" s="133">
        <f t="shared" si="20"/>
        <v>150</v>
      </c>
      <c r="AD91" s="133">
        <f t="shared" si="20"/>
        <v>3892.3180000000002</v>
      </c>
      <c r="AE91" s="133">
        <f t="shared" si="20"/>
        <v>3141.3485000000001</v>
      </c>
      <c r="AF91" s="133">
        <f t="shared" si="20"/>
        <v>0</v>
      </c>
      <c r="AG91" s="133">
        <f t="shared" si="20"/>
        <v>0</v>
      </c>
      <c r="AH91" s="133">
        <f t="shared" si="20"/>
        <v>190.6</v>
      </c>
      <c r="AI91" s="133">
        <f t="shared" si="20"/>
        <v>150</v>
      </c>
      <c r="AJ91" s="133">
        <f t="shared" si="20"/>
        <v>3481.9485</v>
      </c>
      <c r="AK91" s="133">
        <f t="shared" si="20"/>
        <v>13412.839</v>
      </c>
      <c r="AL91" s="133">
        <f t="shared" si="20"/>
        <v>0</v>
      </c>
      <c r="AM91" s="133">
        <f t="shared" si="20"/>
        <v>0</v>
      </c>
      <c r="AN91" s="133">
        <f t="shared" si="20"/>
        <v>1960.3</v>
      </c>
      <c r="AO91" s="133">
        <f t="shared" si="20"/>
        <v>600</v>
      </c>
      <c r="AP91" s="133">
        <f t="shared" si="20"/>
        <v>15973.138999999999</v>
      </c>
    </row>
    <row r="92" spans="1:42" s="66" customFormat="1">
      <c r="A92" s="53" t="s">
        <v>73</v>
      </c>
      <c r="B92" s="54"/>
      <c r="C92" s="54"/>
      <c r="D92" s="53"/>
      <c r="E92" s="53"/>
      <c r="F92" s="64"/>
      <c r="G92" s="64"/>
      <c r="H92" s="53"/>
      <c r="I92" s="53"/>
      <c r="J92" s="53"/>
      <c r="K92" s="53"/>
      <c r="L92" s="53"/>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row>
    <row r="93" spans="1:42" s="66" customFormat="1" ht="38.25">
      <c r="A93" s="10" t="s">
        <v>61</v>
      </c>
      <c r="B93" s="10"/>
      <c r="C93" s="10"/>
      <c r="D93" s="10"/>
      <c r="E93" s="10"/>
      <c r="F93" s="10"/>
      <c r="G93" s="10"/>
      <c r="H93" s="10"/>
      <c r="I93" s="10"/>
      <c r="J93" s="10"/>
      <c r="K93" s="10"/>
      <c r="L93" s="10"/>
      <c r="M93" s="131"/>
      <c r="N93" s="131"/>
      <c r="O93" s="131"/>
      <c r="P93" s="131"/>
      <c r="Q93" s="131"/>
      <c r="R93" s="131"/>
      <c r="S93" s="131"/>
      <c r="T93" s="131"/>
      <c r="U93" s="131"/>
      <c r="V93" s="131"/>
      <c r="W93" s="131"/>
      <c r="X93" s="131"/>
      <c r="Y93" s="131"/>
      <c r="Z93" s="131"/>
      <c r="AA93" s="131"/>
      <c r="AB93" s="131"/>
      <c r="AC93" s="131"/>
      <c r="AD93" s="131"/>
      <c r="AE93" s="131"/>
      <c r="AF93" s="131"/>
      <c r="AG93" s="131"/>
      <c r="AH93" s="131"/>
      <c r="AI93" s="131"/>
      <c r="AJ93" s="131"/>
      <c r="AK93" s="131"/>
      <c r="AL93" s="131"/>
      <c r="AM93" s="131"/>
      <c r="AN93" s="131"/>
      <c r="AO93" s="131"/>
      <c r="AP93" s="131"/>
    </row>
    <row r="94" spans="1:42" s="66" customFormat="1" ht="25.5">
      <c r="A94" s="10" t="s">
        <v>65</v>
      </c>
      <c r="B94" s="10"/>
      <c r="C94" s="10"/>
      <c r="D94" s="10"/>
      <c r="E94" s="10"/>
      <c r="F94" s="10"/>
      <c r="G94" s="10"/>
      <c r="H94" s="10"/>
      <c r="I94" s="10"/>
      <c r="J94" s="10"/>
      <c r="K94" s="10"/>
      <c r="L94" s="10"/>
      <c r="M94" s="131"/>
      <c r="N94" s="131"/>
      <c r="O94" s="131"/>
      <c r="P94" s="131"/>
      <c r="Q94" s="131"/>
      <c r="R94" s="131"/>
      <c r="S94" s="131"/>
      <c r="T94" s="131"/>
      <c r="U94" s="131"/>
      <c r="V94" s="131"/>
      <c r="W94" s="131"/>
      <c r="X94" s="131"/>
      <c r="Y94" s="131"/>
      <c r="Z94" s="131"/>
      <c r="AA94" s="131"/>
      <c r="AB94" s="131"/>
      <c r="AC94" s="131"/>
      <c r="AD94" s="131"/>
      <c r="AE94" s="131"/>
      <c r="AF94" s="131"/>
      <c r="AG94" s="131"/>
      <c r="AH94" s="131"/>
      <c r="AI94" s="131"/>
      <c r="AJ94" s="131"/>
      <c r="AK94" s="131"/>
      <c r="AL94" s="131"/>
      <c r="AM94" s="131"/>
      <c r="AN94" s="131"/>
      <c r="AO94" s="131"/>
      <c r="AP94" s="131"/>
    </row>
    <row r="95" spans="1:42" s="66" customFormat="1" ht="153">
      <c r="A95" s="1" t="s">
        <v>62</v>
      </c>
      <c r="B95" s="4"/>
      <c r="C95" s="4"/>
      <c r="D95" s="4"/>
      <c r="E95" s="134" t="s">
        <v>63</v>
      </c>
      <c r="F95" s="4" t="s">
        <v>18</v>
      </c>
      <c r="G95" s="4"/>
      <c r="H95" s="10" t="s">
        <v>64</v>
      </c>
      <c r="I95" s="4" t="s">
        <v>278</v>
      </c>
      <c r="J95" s="4"/>
      <c r="K95" s="60" t="s">
        <v>279</v>
      </c>
      <c r="L95" s="67"/>
      <c r="M95" s="68"/>
      <c r="N95" s="68"/>
      <c r="O95" s="68"/>
      <c r="P95" s="67"/>
      <c r="Q95" s="67"/>
      <c r="R95" s="67"/>
      <c r="S95" s="67"/>
      <c r="T95" s="67"/>
      <c r="U95" s="67"/>
      <c r="V95" s="67"/>
      <c r="W95" s="68"/>
      <c r="X95" s="68"/>
      <c r="Y95" s="68"/>
      <c r="Z95" s="67"/>
      <c r="AA95" s="67"/>
      <c r="AB95" s="68"/>
      <c r="AC95" s="68"/>
      <c r="AD95" s="68"/>
      <c r="AE95" s="67"/>
      <c r="AF95" s="67"/>
      <c r="AG95" s="67"/>
      <c r="AH95" s="67"/>
      <c r="AI95" s="67"/>
      <c r="AJ95" s="67"/>
      <c r="AK95" s="118">
        <v>5000000</v>
      </c>
      <c r="AL95" s="70"/>
      <c r="AM95" s="70"/>
      <c r="AN95" s="70"/>
      <c r="AO95" s="70"/>
      <c r="AP95" s="69">
        <f>SUM(AK95:AO95)</f>
        <v>5000000</v>
      </c>
    </row>
    <row r="96" spans="1:42" s="66" customFormat="1" ht="242.25">
      <c r="A96" s="10" t="s">
        <v>283</v>
      </c>
      <c r="B96" s="10"/>
      <c r="C96" s="10"/>
      <c r="D96" s="10" t="s">
        <v>73</v>
      </c>
      <c r="E96" s="10" t="s">
        <v>66</v>
      </c>
      <c r="F96" s="10" t="s">
        <v>18</v>
      </c>
      <c r="G96" s="10" t="s">
        <v>67</v>
      </c>
      <c r="H96" s="10" t="s">
        <v>68</v>
      </c>
      <c r="I96" s="10" t="s">
        <v>267</v>
      </c>
      <c r="J96" s="10" t="s">
        <v>268</v>
      </c>
      <c r="K96" s="10"/>
      <c r="L96" s="10"/>
      <c r="M96" s="131"/>
      <c r="N96" s="131"/>
      <c r="O96" s="131"/>
      <c r="P96" s="131"/>
      <c r="Q96" s="131"/>
      <c r="R96" s="131"/>
      <c r="S96" s="131"/>
      <c r="T96" s="131"/>
      <c r="U96" s="131"/>
      <c r="V96" s="131"/>
      <c r="W96" s="131"/>
      <c r="X96" s="131"/>
      <c r="Y96" s="131"/>
      <c r="Z96" s="131"/>
      <c r="AA96" s="131"/>
      <c r="AB96" s="131"/>
      <c r="AC96" s="131"/>
      <c r="AD96" s="131"/>
      <c r="AE96" s="131"/>
      <c r="AF96" s="131"/>
      <c r="AG96" s="131"/>
      <c r="AH96" s="131"/>
      <c r="AI96" s="131"/>
      <c r="AJ96" s="131"/>
      <c r="AK96" s="69">
        <v>9100000</v>
      </c>
      <c r="AL96" s="70"/>
      <c r="AM96" s="70"/>
      <c r="AN96" s="70"/>
      <c r="AO96" s="70"/>
      <c r="AP96" s="69">
        <f>SUM(AK96:AO96)</f>
        <v>9100000</v>
      </c>
    </row>
    <row r="97" spans="1:42" s="66" customFormat="1" ht="229.5">
      <c r="A97" s="1" t="s">
        <v>284</v>
      </c>
      <c r="B97" s="71"/>
      <c r="C97" s="71"/>
      <c r="D97" s="1"/>
      <c r="E97" s="10" t="s">
        <v>69</v>
      </c>
      <c r="F97" s="4" t="s">
        <v>18</v>
      </c>
      <c r="G97" s="1"/>
      <c r="H97" s="10" t="s">
        <v>64</v>
      </c>
      <c r="I97" s="4" t="s">
        <v>278</v>
      </c>
      <c r="J97" s="4"/>
      <c r="K97" s="1" t="s">
        <v>280</v>
      </c>
      <c r="L97" s="67"/>
      <c r="M97" s="68"/>
      <c r="N97" s="68"/>
      <c r="O97" s="68"/>
      <c r="P97" s="67"/>
      <c r="Q97" s="67"/>
      <c r="R97" s="67"/>
      <c r="S97" s="67"/>
      <c r="T97" s="67"/>
      <c r="U97" s="67"/>
      <c r="V97" s="67"/>
      <c r="W97" s="68"/>
      <c r="X97" s="68"/>
      <c r="Y97" s="68"/>
      <c r="Z97" s="67"/>
      <c r="AA97" s="67"/>
      <c r="AB97" s="68"/>
      <c r="AC97" s="68"/>
      <c r="AD97" s="68"/>
      <c r="AE97" s="67"/>
      <c r="AF97" s="67"/>
      <c r="AG97" s="67"/>
      <c r="AH97" s="67"/>
      <c r="AI97" s="67"/>
      <c r="AJ97" s="67"/>
      <c r="AK97" s="69">
        <v>240000</v>
      </c>
      <c r="AL97" s="70"/>
      <c r="AM97" s="70"/>
      <c r="AN97" s="70"/>
      <c r="AO97" s="70"/>
      <c r="AP97" s="69">
        <f>SUM(AK97:AO97)</f>
        <v>240000</v>
      </c>
    </row>
    <row r="98" spans="1:42" s="66" customFormat="1" ht="102">
      <c r="A98" s="2" t="s">
        <v>70</v>
      </c>
      <c r="B98" s="4"/>
      <c r="C98" s="4"/>
      <c r="D98" s="4" t="s">
        <v>73</v>
      </c>
      <c r="E98" s="134" t="s">
        <v>71</v>
      </c>
      <c r="F98" s="4" t="s">
        <v>18</v>
      </c>
      <c r="G98" s="4"/>
      <c r="H98" s="1" t="s">
        <v>281</v>
      </c>
      <c r="I98" s="4" t="s">
        <v>282</v>
      </c>
      <c r="J98" s="4"/>
      <c r="K98" s="67"/>
      <c r="L98" s="67"/>
      <c r="M98" s="68"/>
      <c r="N98" s="68"/>
      <c r="O98" s="68"/>
      <c r="P98" s="67"/>
      <c r="Q98" s="67"/>
      <c r="R98" s="67"/>
      <c r="S98" s="67"/>
      <c r="T98" s="67"/>
      <c r="U98" s="67"/>
      <c r="V98" s="67"/>
      <c r="W98" s="68"/>
      <c r="X98" s="68"/>
      <c r="Y98" s="68"/>
      <c r="Z98" s="67"/>
      <c r="AA98" s="67"/>
      <c r="AB98" s="68"/>
      <c r="AC98" s="68"/>
      <c r="AD98" s="68"/>
      <c r="AE98" s="67"/>
      <c r="AF98" s="67"/>
      <c r="AG98" s="67"/>
      <c r="AH98" s="67"/>
      <c r="AI98" s="67"/>
      <c r="AJ98" s="67"/>
      <c r="AK98" s="62">
        <v>350000</v>
      </c>
      <c r="AL98" s="70"/>
      <c r="AM98" s="70"/>
      <c r="AN98" s="70"/>
      <c r="AO98" s="70"/>
      <c r="AP98" s="69">
        <f>SUM(AK98:AO98)</f>
        <v>350000</v>
      </c>
    </row>
    <row r="99" spans="1:42">
      <c r="A99" s="132" t="s">
        <v>72</v>
      </c>
      <c r="B99" s="132"/>
      <c r="C99" s="132"/>
      <c r="D99" s="132"/>
      <c r="E99" s="132"/>
      <c r="F99" s="132"/>
      <c r="G99" s="132"/>
      <c r="H99" s="132"/>
      <c r="I99" s="132"/>
      <c r="J99" s="132"/>
      <c r="K99" s="132"/>
      <c r="L99" s="132"/>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f>SUM(AK95:AK98)</f>
        <v>14690000</v>
      </c>
      <c r="AL99" s="133">
        <f>SUM(AL95:AL98)</f>
        <v>0</v>
      </c>
      <c r="AM99" s="133">
        <f>SUM(AM95:AM98)</f>
        <v>0</v>
      </c>
      <c r="AN99" s="133">
        <f>SUM(AN95:AN98)</f>
        <v>0</v>
      </c>
      <c r="AO99" s="133">
        <f>SUM(AO95:AO98)</f>
        <v>0</v>
      </c>
      <c r="AP99" s="76">
        <f>SUM(AK99:AO99)</f>
        <v>14690000</v>
      </c>
    </row>
    <row r="100" spans="1:42">
      <c r="A100" s="132"/>
      <c r="B100" s="132"/>
      <c r="C100" s="132"/>
      <c r="D100" s="132"/>
      <c r="E100" s="132"/>
      <c r="F100" s="132"/>
      <c r="G100" s="132"/>
      <c r="H100" s="132"/>
      <c r="I100" s="132"/>
      <c r="J100" s="132"/>
      <c r="K100" s="132"/>
      <c r="L100" s="132"/>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76">
        <f>AP99/1000</f>
        <v>14690</v>
      </c>
    </row>
    <row r="101" spans="1:42" ht="43.5" customHeight="1">
      <c r="A101" s="55" t="s">
        <v>194</v>
      </c>
      <c r="B101" s="28"/>
      <c r="C101" s="28"/>
      <c r="D101" s="56"/>
      <c r="E101" s="56"/>
      <c r="F101" s="56"/>
      <c r="G101" s="24"/>
      <c r="H101" s="24"/>
      <c r="I101" s="24"/>
      <c r="J101" s="24"/>
      <c r="K101" s="24"/>
      <c r="L101" s="24"/>
      <c r="M101" s="58">
        <f t="shared" ref="M101:AP101" si="21">M76+M90+M99</f>
        <v>32089148.499999974</v>
      </c>
      <c r="N101" s="58">
        <f t="shared" si="21"/>
        <v>0</v>
      </c>
      <c r="O101" s="58">
        <f t="shared" si="21"/>
        <v>0</v>
      </c>
      <c r="P101" s="58">
        <f t="shared" si="21"/>
        <v>901200</v>
      </c>
      <c r="Q101" s="58">
        <f t="shared" si="21"/>
        <v>150000</v>
      </c>
      <c r="R101" s="58">
        <f t="shared" si="21"/>
        <v>33140348.499999974</v>
      </c>
      <c r="S101" s="58">
        <f t="shared" si="21"/>
        <v>30733234.723810069</v>
      </c>
      <c r="T101" s="58">
        <f t="shared" si="21"/>
        <v>0</v>
      </c>
      <c r="U101" s="58">
        <f t="shared" si="21"/>
        <v>0</v>
      </c>
      <c r="V101" s="58">
        <f t="shared" si="21"/>
        <v>3383639.4</v>
      </c>
      <c r="W101" s="58">
        <f t="shared" si="21"/>
        <v>150000</v>
      </c>
      <c r="X101" s="58">
        <f t="shared" si="21"/>
        <v>34266874.123810068</v>
      </c>
      <c r="Y101" s="58">
        <f t="shared" si="21"/>
        <v>31019365.009730019</v>
      </c>
      <c r="Z101" s="58">
        <f t="shared" si="21"/>
        <v>0</v>
      </c>
      <c r="AA101" s="58">
        <f t="shared" si="21"/>
        <v>0</v>
      </c>
      <c r="AB101" s="58">
        <f t="shared" si="21"/>
        <v>2947502.4</v>
      </c>
      <c r="AC101" s="58">
        <f t="shared" si="21"/>
        <v>150000</v>
      </c>
      <c r="AD101" s="58">
        <f t="shared" si="21"/>
        <v>34116867.409730017</v>
      </c>
      <c r="AE101" s="58">
        <f t="shared" si="21"/>
        <v>33169313.887514163</v>
      </c>
      <c r="AF101" s="58">
        <f t="shared" si="21"/>
        <v>0</v>
      </c>
      <c r="AG101" s="58">
        <f t="shared" si="21"/>
        <v>0</v>
      </c>
      <c r="AH101" s="58">
        <f t="shared" si="21"/>
        <v>2046297.9</v>
      </c>
      <c r="AI101" s="58">
        <f t="shared" si="21"/>
        <v>150000</v>
      </c>
      <c r="AJ101" s="58">
        <f t="shared" si="21"/>
        <v>35365611.787514165</v>
      </c>
      <c r="AK101" s="57">
        <f t="shared" si="21"/>
        <v>141701062.12105423</v>
      </c>
      <c r="AL101" s="57">
        <f t="shared" si="21"/>
        <v>0</v>
      </c>
      <c r="AM101" s="57">
        <f t="shared" si="21"/>
        <v>0</v>
      </c>
      <c r="AN101" s="57">
        <f t="shared" si="21"/>
        <v>9278639.6999999993</v>
      </c>
      <c r="AO101" s="57">
        <f t="shared" si="21"/>
        <v>600000</v>
      </c>
      <c r="AP101" s="57">
        <f t="shared" si="21"/>
        <v>151579701.82105422</v>
      </c>
    </row>
    <row r="102" spans="1:42" s="113" customFormat="1">
      <c r="A102" s="25" t="s">
        <v>189</v>
      </c>
      <c r="B102" s="25"/>
      <c r="C102" s="25"/>
      <c r="D102" s="25"/>
      <c r="E102" s="25"/>
      <c r="F102" s="25"/>
      <c r="G102" s="25"/>
      <c r="H102" s="25"/>
      <c r="I102" s="25"/>
      <c r="J102" s="25"/>
      <c r="K102" s="25"/>
      <c r="L102" s="25"/>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row>
    <row r="103" spans="1:42" s="113" customFormat="1" ht="25.5">
      <c r="A103" s="114" t="s">
        <v>156</v>
      </c>
      <c r="B103" s="115"/>
      <c r="C103" s="115"/>
      <c r="D103" s="116"/>
      <c r="E103" s="117"/>
      <c r="F103" s="115"/>
      <c r="G103" s="117"/>
      <c r="H103" s="115"/>
      <c r="I103" s="115"/>
      <c r="J103" s="115"/>
      <c r="K103" s="115"/>
      <c r="L103" s="117"/>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c r="AK103" s="115"/>
      <c r="AL103" s="115"/>
      <c r="AM103" s="115"/>
      <c r="AN103" s="115"/>
      <c r="AO103" s="115"/>
      <c r="AP103" s="115"/>
    </row>
    <row r="104" spans="1:42" s="113" customFormat="1" ht="101.25" customHeight="1">
      <c r="A104" s="6" t="s">
        <v>157</v>
      </c>
      <c r="B104" s="6"/>
      <c r="C104" s="6"/>
      <c r="D104" s="6" t="s">
        <v>154</v>
      </c>
      <c r="E104" s="7" t="s">
        <v>158</v>
      </c>
      <c r="F104" s="6" t="s">
        <v>25</v>
      </c>
      <c r="G104" s="6" t="s">
        <v>74</v>
      </c>
      <c r="H104" s="6" t="s">
        <v>118</v>
      </c>
      <c r="I104" s="6">
        <v>13</v>
      </c>
      <c r="J104" s="6"/>
      <c r="K104" s="6"/>
      <c r="L104" s="6"/>
      <c r="M104" s="118">
        <v>10000000</v>
      </c>
      <c r="N104" s="118"/>
      <c r="O104" s="118"/>
      <c r="P104" s="118"/>
      <c r="Q104" s="118"/>
      <c r="R104" s="118"/>
      <c r="S104" s="118">
        <v>10000000</v>
      </c>
      <c r="T104" s="118"/>
      <c r="U104" s="118"/>
      <c r="V104" s="118"/>
      <c r="W104" s="118"/>
      <c r="X104" s="118">
        <f>SUM(S104:W104)</f>
        <v>10000000</v>
      </c>
      <c r="Y104" s="118">
        <v>10000000</v>
      </c>
      <c r="Z104" s="118"/>
      <c r="AA104" s="118"/>
      <c r="AB104" s="118"/>
      <c r="AC104" s="118"/>
      <c r="AD104" s="118">
        <f>SUM(Y104:AC104)</f>
        <v>10000000</v>
      </c>
      <c r="AE104" s="118">
        <v>10000000</v>
      </c>
      <c r="AF104" s="118"/>
      <c r="AG104" s="118"/>
      <c r="AH104" s="118"/>
      <c r="AI104" s="118"/>
      <c r="AJ104" s="118">
        <f>SUM(AE104:AI104)</f>
        <v>10000000</v>
      </c>
      <c r="AK104" s="118">
        <f>M104+S104+Y104+AE104</f>
        <v>40000000</v>
      </c>
      <c r="AL104" s="118">
        <v>0</v>
      </c>
      <c r="AM104" s="118">
        <v>0</v>
      </c>
      <c r="AN104" s="118">
        <v>0</v>
      </c>
      <c r="AO104" s="118">
        <v>0</v>
      </c>
      <c r="AP104" s="118">
        <f>SUM(AK104:AO104)</f>
        <v>40000000</v>
      </c>
    </row>
    <row r="105" spans="1:42" s="113" customFormat="1" ht="72.75" customHeight="1">
      <c r="A105" s="5" t="s">
        <v>322</v>
      </c>
      <c r="B105" s="6"/>
      <c r="C105" s="6"/>
      <c r="D105" s="6" t="s">
        <v>155</v>
      </c>
      <c r="E105" s="7" t="s">
        <v>159</v>
      </c>
      <c r="F105" s="6" t="s">
        <v>25</v>
      </c>
      <c r="G105" s="6" t="s">
        <v>74</v>
      </c>
      <c r="H105" s="6" t="s">
        <v>118</v>
      </c>
      <c r="I105" s="6">
        <v>13</v>
      </c>
      <c r="J105" s="6"/>
      <c r="K105" s="6"/>
      <c r="L105" s="6" t="s">
        <v>160</v>
      </c>
      <c r="M105" s="118"/>
      <c r="N105" s="118"/>
      <c r="O105" s="118"/>
      <c r="P105" s="118"/>
      <c r="Q105" s="118"/>
      <c r="R105" s="118">
        <v>0</v>
      </c>
      <c r="S105" s="118"/>
      <c r="T105" s="118"/>
      <c r="U105" s="118"/>
      <c r="V105" s="118"/>
      <c r="W105" s="118"/>
      <c r="X105" s="118">
        <f t="shared" ref="X105:X111" si="22">SUM(S105:W105)</f>
        <v>0</v>
      </c>
      <c r="Y105" s="118"/>
      <c r="Z105" s="118"/>
      <c r="AA105" s="118"/>
      <c r="AB105" s="118"/>
      <c r="AC105" s="118"/>
      <c r="AD105" s="118">
        <f t="shared" ref="AD105:AD111" si="23">SUM(Y105:AC105)</f>
        <v>0</v>
      </c>
      <c r="AE105" s="118"/>
      <c r="AF105" s="118"/>
      <c r="AG105" s="118"/>
      <c r="AH105" s="118"/>
      <c r="AI105" s="118"/>
      <c r="AJ105" s="118">
        <f t="shared" ref="AJ105:AJ111" si="24">SUM(AE105:AI105)</f>
        <v>0</v>
      </c>
      <c r="AK105" s="118">
        <f>M105+S105+Y105+AE105</f>
        <v>0</v>
      </c>
      <c r="AL105" s="118">
        <v>4620</v>
      </c>
      <c r="AM105" s="118">
        <v>754330</v>
      </c>
      <c r="AN105" s="118">
        <v>1033200</v>
      </c>
      <c r="AO105" s="118">
        <v>119280</v>
      </c>
      <c r="AP105" s="118">
        <f t="shared" ref="AP105:AP111" si="25">SUM(AK105:AO105)</f>
        <v>1911430</v>
      </c>
    </row>
    <row r="106" spans="1:42" s="113" customFormat="1" ht="25.5">
      <c r="A106" s="119" t="s">
        <v>323</v>
      </c>
      <c r="B106" s="6"/>
      <c r="C106" s="6"/>
      <c r="D106" s="6" t="s">
        <v>154</v>
      </c>
      <c r="E106" s="7"/>
      <c r="F106" s="119" t="s">
        <v>18</v>
      </c>
      <c r="G106" s="6"/>
      <c r="H106" s="6" t="s">
        <v>118</v>
      </c>
      <c r="I106" s="6">
        <v>13</v>
      </c>
      <c r="J106" s="6"/>
      <c r="K106" s="6"/>
      <c r="L106" s="6"/>
      <c r="M106" s="118"/>
      <c r="N106" s="118"/>
      <c r="O106" s="118"/>
      <c r="P106" s="118"/>
      <c r="Q106" s="118"/>
      <c r="R106" s="118"/>
      <c r="S106" s="118"/>
      <c r="T106" s="118"/>
      <c r="U106" s="118"/>
      <c r="V106" s="118"/>
      <c r="W106" s="118"/>
      <c r="X106" s="118">
        <f t="shared" si="22"/>
        <v>0</v>
      </c>
      <c r="Y106" s="118"/>
      <c r="Z106" s="118"/>
      <c r="AA106" s="118"/>
      <c r="AB106" s="118"/>
      <c r="AC106" s="118"/>
      <c r="AD106" s="118">
        <f t="shared" si="23"/>
        <v>0</v>
      </c>
      <c r="AE106" s="118"/>
      <c r="AF106" s="118"/>
      <c r="AG106" s="118"/>
      <c r="AH106" s="118"/>
      <c r="AI106" s="118"/>
      <c r="AJ106" s="118">
        <f t="shared" si="24"/>
        <v>0</v>
      </c>
      <c r="AK106" s="120">
        <v>20392000</v>
      </c>
      <c r="AL106" s="115"/>
      <c r="AM106" s="118"/>
      <c r="AN106" s="118"/>
      <c r="AO106" s="118"/>
      <c r="AP106" s="118">
        <f t="shared" si="25"/>
        <v>20392000</v>
      </c>
    </row>
    <row r="107" spans="1:42" s="113" customFormat="1" ht="25.5">
      <c r="A107" s="119" t="s">
        <v>324</v>
      </c>
      <c r="B107" s="6"/>
      <c r="C107" s="6"/>
      <c r="D107" s="6" t="s">
        <v>154</v>
      </c>
      <c r="E107" s="7"/>
      <c r="F107" s="119" t="s">
        <v>311</v>
      </c>
      <c r="G107" s="6"/>
      <c r="H107" s="6" t="s">
        <v>118</v>
      </c>
      <c r="I107" s="6">
        <v>13</v>
      </c>
      <c r="J107" s="6"/>
      <c r="K107" s="6"/>
      <c r="L107" s="6"/>
      <c r="M107" s="118"/>
      <c r="N107" s="118"/>
      <c r="O107" s="118"/>
      <c r="P107" s="118"/>
      <c r="Q107" s="118"/>
      <c r="R107" s="118"/>
      <c r="S107" s="118"/>
      <c r="T107" s="118"/>
      <c r="U107" s="118"/>
      <c r="V107" s="118"/>
      <c r="W107" s="118"/>
      <c r="X107" s="118">
        <f t="shared" si="22"/>
        <v>0</v>
      </c>
      <c r="Y107" s="118"/>
      <c r="Z107" s="118"/>
      <c r="AA107" s="118"/>
      <c r="AB107" s="118"/>
      <c r="AC107" s="118"/>
      <c r="AD107" s="118">
        <f t="shared" si="23"/>
        <v>0</v>
      </c>
      <c r="AE107" s="118"/>
      <c r="AF107" s="118"/>
      <c r="AG107" s="118"/>
      <c r="AH107" s="118"/>
      <c r="AI107" s="118"/>
      <c r="AJ107" s="118">
        <f t="shared" si="24"/>
        <v>0</v>
      </c>
      <c r="AK107" s="120">
        <v>4000000</v>
      </c>
      <c r="AL107" s="115"/>
      <c r="AM107" s="118"/>
      <c r="AN107" s="118"/>
      <c r="AO107" s="118"/>
      <c r="AP107" s="118">
        <f t="shared" si="25"/>
        <v>4000000</v>
      </c>
    </row>
    <row r="108" spans="1:42" s="113" customFormat="1" ht="25.5">
      <c r="A108" s="119" t="s">
        <v>325</v>
      </c>
      <c r="B108" s="6"/>
      <c r="C108" s="6"/>
      <c r="D108" s="6" t="s">
        <v>154</v>
      </c>
      <c r="E108" s="7"/>
      <c r="F108" s="119" t="s">
        <v>18</v>
      </c>
      <c r="G108" s="6"/>
      <c r="H108" s="6" t="s">
        <v>118</v>
      </c>
      <c r="I108" s="6">
        <v>13</v>
      </c>
      <c r="J108" s="6"/>
      <c r="K108" s="6"/>
      <c r="L108" s="6"/>
      <c r="M108" s="118"/>
      <c r="N108" s="118"/>
      <c r="O108" s="118"/>
      <c r="P108" s="118"/>
      <c r="Q108" s="118"/>
      <c r="R108" s="118"/>
      <c r="S108" s="118"/>
      <c r="T108" s="118"/>
      <c r="U108" s="118"/>
      <c r="V108" s="118"/>
      <c r="W108" s="118"/>
      <c r="X108" s="118">
        <f t="shared" si="22"/>
        <v>0</v>
      </c>
      <c r="Y108" s="118"/>
      <c r="Z108" s="118"/>
      <c r="AA108" s="118"/>
      <c r="AB108" s="118"/>
      <c r="AC108" s="118"/>
      <c r="AD108" s="118">
        <f t="shared" si="23"/>
        <v>0</v>
      </c>
      <c r="AE108" s="118"/>
      <c r="AF108" s="118"/>
      <c r="AG108" s="118"/>
      <c r="AH108" s="118"/>
      <c r="AI108" s="118"/>
      <c r="AJ108" s="118">
        <f t="shared" si="24"/>
        <v>0</v>
      </c>
      <c r="AK108" s="120">
        <v>2688000</v>
      </c>
      <c r="AL108" s="115"/>
      <c r="AM108" s="118"/>
      <c r="AN108" s="118"/>
      <c r="AO108" s="118"/>
      <c r="AP108" s="118">
        <f t="shared" si="25"/>
        <v>2688000</v>
      </c>
    </row>
    <row r="109" spans="1:42" s="113" customFormat="1" ht="25.5">
      <c r="A109" s="119" t="s">
        <v>326</v>
      </c>
      <c r="B109" s="6"/>
      <c r="C109" s="6"/>
      <c r="D109" s="6" t="s">
        <v>154</v>
      </c>
      <c r="E109" s="7"/>
      <c r="F109" s="119" t="s">
        <v>18</v>
      </c>
      <c r="G109" s="6"/>
      <c r="H109" s="6" t="s">
        <v>118</v>
      </c>
      <c r="I109" s="6">
        <v>13</v>
      </c>
      <c r="J109" s="6"/>
      <c r="K109" s="6"/>
      <c r="L109" s="6"/>
      <c r="M109" s="118"/>
      <c r="N109" s="118"/>
      <c r="O109" s="118"/>
      <c r="P109" s="118"/>
      <c r="Q109" s="118"/>
      <c r="R109" s="118"/>
      <c r="S109" s="118"/>
      <c r="T109" s="118"/>
      <c r="U109" s="118"/>
      <c r="V109" s="118"/>
      <c r="W109" s="118"/>
      <c r="X109" s="118">
        <f t="shared" si="22"/>
        <v>0</v>
      </c>
      <c r="Y109" s="118"/>
      <c r="Z109" s="118"/>
      <c r="AA109" s="118"/>
      <c r="AB109" s="118"/>
      <c r="AC109" s="118"/>
      <c r="AD109" s="118">
        <f t="shared" si="23"/>
        <v>0</v>
      </c>
      <c r="AE109" s="118"/>
      <c r="AF109" s="118"/>
      <c r="AG109" s="118"/>
      <c r="AH109" s="118"/>
      <c r="AI109" s="118"/>
      <c r="AJ109" s="118">
        <f t="shared" si="24"/>
        <v>0</v>
      </c>
      <c r="AK109" s="120">
        <v>23502000</v>
      </c>
      <c r="AL109" s="115"/>
      <c r="AM109" s="118"/>
      <c r="AN109" s="118"/>
      <c r="AO109" s="118"/>
      <c r="AP109" s="118">
        <f t="shared" si="25"/>
        <v>23502000</v>
      </c>
    </row>
    <row r="110" spans="1:42" s="113" customFormat="1" ht="25.5">
      <c r="A110" s="119" t="s">
        <v>327</v>
      </c>
      <c r="B110" s="6"/>
      <c r="C110" s="6"/>
      <c r="D110" s="6" t="s">
        <v>310</v>
      </c>
      <c r="E110" s="7"/>
      <c r="F110" s="119" t="s">
        <v>18</v>
      </c>
      <c r="G110" s="6"/>
      <c r="H110" s="6" t="s">
        <v>118</v>
      </c>
      <c r="I110" s="6">
        <v>13</v>
      </c>
      <c r="J110" s="6"/>
      <c r="K110" s="6"/>
      <c r="L110" s="6"/>
      <c r="M110" s="118"/>
      <c r="N110" s="118"/>
      <c r="O110" s="118"/>
      <c r="P110" s="118"/>
      <c r="Q110" s="118"/>
      <c r="R110" s="118"/>
      <c r="S110" s="118"/>
      <c r="T110" s="118"/>
      <c r="U110" s="118"/>
      <c r="V110" s="118"/>
      <c r="W110" s="118"/>
      <c r="X110" s="118">
        <f t="shared" si="22"/>
        <v>0</v>
      </c>
      <c r="Y110" s="118"/>
      <c r="Z110" s="118"/>
      <c r="AA110" s="118"/>
      <c r="AB110" s="118"/>
      <c r="AC110" s="118"/>
      <c r="AD110" s="118">
        <f t="shared" si="23"/>
        <v>0</v>
      </c>
      <c r="AE110" s="118"/>
      <c r="AF110" s="118"/>
      <c r="AG110" s="118"/>
      <c r="AH110" s="118"/>
      <c r="AI110" s="118"/>
      <c r="AJ110" s="118">
        <f t="shared" si="24"/>
        <v>0</v>
      </c>
      <c r="AK110" s="120">
        <v>8535000</v>
      </c>
      <c r="AL110" s="115"/>
      <c r="AM110" s="118"/>
      <c r="AN110" s="118"/>
      <c r="AO110" s="118"/>
      <c r="AP110" s="118">
        <f t="shared" si="25"/>
        <v>8535000</v>
      </c>
    </row>
    <row r="111" spans="1:42" s="123" customFormat="1">
      <c r="A111" s="28" t="s">
        <v>192</v>
      </c>
      <c r="B111" s="28"/>
      <c r="C111" s="28"/>
      <c r="D111" s="28"/>
      <c r="E111" s="28"/>
      <c r="F111" s="28"/>
      <c r="G111" s="28"/>
      <c r="H111" s="28"/>
      <c r="I111" s="28"/>
      <c r="J111" s="28"/>
      <c r="K111" s="28"/>
      <c r="L111" s="28"/>
      <c r="M111" s="121">
        <f>SUM(M104:M110)</f>
        <v>10000000</v>
      </c>
      <c r="N111" s="121">
        <f t="shared" ref="N111:W111" si="26">SUM(N104:N110)</f>
        <v>0</v>
      </c>
      <c r="O111" s="121">
        <f t="shared" si="26"/>
        <v>0</v>
      </c>
      <c r="P111" s="121">
        <f t="shared" si="26"/>
        <v>0</v>
      </c>
      <c r="Q111" s="121">
        <f t="shared" si="26"/>
        <v>0</v>
      </c>
      <c r="R111" s="121">
        <f t="shared" si="26"/>
        <v>0</v>
      </c>
      <c r="S111" s="121">
        <f t="shared" si="26"/>
        <v>10000000</v>
      </c>
      <c r="T111" s="121">
        <f t="shared" si="26"/>
        <v>0</v>
      </c>
      <c r="U111" s="121">
        <f t="shared" si="26"/>
        <v>0</v>
      </c>
      <c r="V111" s="121">
        <f t="shared" si="26"/>
        <v>0</v>
      </c>
      <c r="W111" s="121">
        <f t="shared" si="26"/>
        <v>0</v>
      </c>
      <c r="X111" s="122">
        <f t="shared" si="22"/>
        <v>10000000</v>
      </c>
      <c r="Y111" s="121">
        <f>SUM(Y104:Y110)</f>
        <v>10000000</v>
      </c>
      <c r="Z111" s="121">
        <f>SUM(Z104:Z110)</f>
        <v>0</v>
      </c>
      <c r="AA111" s="121">
        <f>SUM(AA104:AA110)</f>
        <v>0</v>
      </c>
      <c r="AB111" s="121">
        <f>SUM(AB104:AB110)</f>
        <v>0</v>
      </c>
      <c r="AC111" s="121">
        <f>SUM(AC104:AC110)</f>
        <v>0</v>
      </c>
      <c r="AD111" s="122">
        <f t="shared" si="23"/>
        <v>10000000</v>
      </c>
      <c r="AE111" s="121">
        <f>SUM(AE104:AE110)</f>
        <v>10000000</v>
      </c>
      <c r="AF111" s="121">
        <f>SUM(AF104:AF110)</f>
        <v>0</v>
      </c>
      <c r="AG111" s="121">
        <f>SUM(AG104:AG110)</f>
        <v>0</v>
      </c>
      <c r="AH111" s="121">
        <f>SUM(AH104:AH110)</f>
        <v>0</v>
      </c>
      <c r="AI111" s="121">
        <f>SUM(AI104:AI110)</f>
        <v>0</v>
      </c>
      <c r="AJ111" s="122">
        <f t="shared" si="24"/>
        <v>10000000</v>
      </c>
      <c r="AK111" s="121">
        <f>SUM(AK104:AK110)</f>
        <v>99117000</v>
      </c>
      <c r="AL111" s="121">
        <f>SUM(AL104:AL110)</f>
        <v>4620</v>
      </c>
      <c r="AM111" s="121">
        <f>SUM(AM104:AM110)</f>
        <v>754330</v>
      </c>
      <c r="AN111" s="121">
        <f>SUM(AN104:AN110)</f>
        <v>1033200</v>
      </c>
      <c r="AO111" s="121">
        <f>SUM(AO104:AO110)</f>
        <v>119280</v>
      </c>
      <c r="AP111" s="122">
        <f t="shared" si="25"/>
        <v>101028430</v>
      </c>
    </row>
    <row r="112" spans="1:42" ht="30" customHeight="1">
      <c r="A112" s="127" t="s">
        <v>190</v>
      </c>
      <c r="B112" s="29"/>
      <c r="C112" s="29"/>
      <c r="D112" s="45"/>
      <c r="E112" s="45"/>
      <c r="F112" s="45"/>
      <c r="G112" s="26"/>
      <c r="H112" s="26"/>
      <c r="I112" s="26"/>
      <c r="J112" s="26"/>
      <c r="K112" s="26"/>
      <c r="L112" s="26"/>
      <c r="M112" s="46"/>
      <c r="N112" s="46"/>
      <c r="O112" s="46"/>
      <c r="P112" s="46"/>
      <c r="Q112" s="46"/>
      <c r="R112" s="46"/>
      <c r="S112" s="46"/>
      <c r="T112" s="46"/>
      <c r="U112" s="46"/>
      <c r="V112" s="46"/>
      <c r="W112" s="46"/>
      <c r="X112" s="46"/>
      <c r="Y112" s="46"/>
      <c r="Z112" s="46"/>
      <c r="AA112" s="46"/>
      <c r="AB112" s="46"/>
      <c r="AC112" s="46"/>
      <c r="AD112" s="46"/>
      <c r="AE112" s="46"/>
      <c r="AF112" s="46"/>
      <c r="AG112" s="46"/>
      <c r="AH112" s="46"/>
      <c r="AI112" s="46"/>
      <c r="AJ112" s="46"/>
      <c r="AK112" s="46"/>
      <c r="AL112" s="46"/>
      <c r="AM112" s="46"/>
      <c r="AN112" s="46"/>
      <c r="AO112" s="46"/>
      <c r="AP112" s="46"/>
    </row>
    <row r="113" spans="1:42" s="79" customFormat="1" ht="30" customHeight="1">
      <c r="A113" s="7" t="s">
        <v>307</v>
      </c>
      <c r="B113" s="7"/>
      <c r="C113" s="7"/>
      <c r="D113" s="96"/>
      <c r="E113" s="96"/>
      <c r="F113" s="5"/>
      <c r="G113" s="5"/>
      <c r="H113" s="5"/>
      <c r="I113" s="96"/>
      <c r="J113" s="6"/>
      <c r="K113" s="96"/>
      <c r="L113" s="96"/>
      <c r="M113" s="97"/>
      <c r="N113" s="97"/>
      <c r="O113" s="97"/>
      <c r="P113" s="97"/>
      <c r="Q113" s="97"/>
      <c r="R113" s="97"/>
      <c r="S113" s="97"/>
      <c r="T113" s="97"/>
      <c r="U113" s="97"/>
      <c r="V113" s="97"/>
      <c r="W113" s="97"/>
      <c r="X113" s="97"/>
      <c r="Y113" s="97"/>
      <c r="Z113" s="97"/>
      <c r="AA113" s="97"/>
      <c r="AB113" s="97"/>
      <c r="AC113" s="97"/>
      <c r="AD113" s="97"/>
      <c r="AE113" s="97"/>
      <c r="AF113" s="97"/>
      <c r="AG113" s="97"/>
      <c r="AH113" s="97"/>
      <c r="AI113" s="97"/>
      <c r="AJ113" s="97"/>
      <c r="AK113" s="87"/>
      <c r="AL113" s="87"/>
      <c r="AM113" s="87"/>
      <c r="AN113" s="87"/>
      <c r="AO113" s="87"/>
      <c r="AP113" s="87"/>
    </row>
    <row r="114" spans="1:42" s="79" customFormat="1" ht="178.5">
      <c r="A114" s="7" t="s">
        <v>285</v>
      </c>
      <c r="B114" s="7">
        <v>1</v>
      </c>
      <c r="C114" s="7">
        <v>100</v>
      </c>
      <c r="D114" s="96" t="s">
        <v>21</v>
      </c>
      <c r="E114" s="7" t="s">
        <v>286</v>
      </c>
      <c r="F114" s="98" t="s">
        <v>18</v>
      </c>
      <c r="G114" s="98" t="s">
        <v>287</v>
      </c>
      <c r="H114" s="99" t="s">
        <v>17</v>
      </c>
      <c r="I114" s="98"/>
      <c r="J114" s="6"/>
      <c r="K114" s="5" t="s">
        <v>314</v>
      </c>
      <c r="L114" s="5" t="s">
        <v>153</v>
      </c>
      <c r="M114" s="100">
        <v>100000</v>
      </c>
      <c r="N114" s="100"/>
      <c r="O114" s="88"/>
      <c r="P114" s="100">
        <v>0</v>
      </c>
      <c r="Q114" s="100">
        <v>0</v>
      </c>
      <c r="R114" s="100">
        <f>M114+P114+Q114</f>
        <v>100000</v>
      </c>
      <c r="S114" s="97">
        <v>1670550</v>
      </c>
      <c r="T114" s="97"/>
      <c r="U114" s="23"/>
      <c r="V114" s="97">
        <v>0</v>
      </c>
      <c r="W114" s="97">
        <v>0</v>
      </c>
      <c r="X114" s="97">
        <f>S114+V114+W114</f>
        <v>1670550</v>
      </c>
      <c r="Y114" s="97">
        <v>813693</v>
      </c>
      <c r="Z114" s="97"/>
      <c r="AA114" s="23"/>
      <c r="AB114" s="97">
        <v>0</v>
      </c>
      <c r="AC114" s="97">
        <v>0</v>
      </c>
      <c r="AD114" s="97">
        <f>Y114+AB114+AC114</f>
        <v>813693</v>
      </c>
      <c r="AE114" s="97">
        <v>182971</v>
      </c>
      <c r="AF114" s="97"/>
      <c r="AG114" s="23"/>
      <c r="AH114" s="97">
        <v>0</v>
      </c>
      <c r="AI114" s="97">
        <v>0</v>
      </c>
      <c r="AJ114" s="97">
        <f>AE114+AH114+AI114</f>
        <v>182971</v>
      </c>
      <c r="AK114" s="88">
        <f>M114+S114+Y114+AE114</f>
        <v>2767214</v>
      </c>
      <c r="AL114" s="88">
        <f>N114+T114+Z114+AF114</f>
        <v>0</v>
      </c>
      <c r="AM114" s="88">
        <f>O114+U114+AA114+AG114</f>
        <v>0</v>
      </c>
      <c r="AN114" s="88">
        <f>P114+V114+AB114+AH114</f>
        <v>0</v>
      </c>
      <c r="AO114" s="88">
        <f>Q114+W114+AC114+AI114</f>
        <v>0</v>
      </c>
      <c r="AP114" s="88">
        <f>SUM(AK114:AO114)</f>
        <v>2767214</v>
      </c>
    </row>
    <row r="115" spans="1:42" s="79" customFormat="1">
      <c r="A115" s="7" t="s">
        <v>308</v>
      </c>
      <c r="B115" s="7"/>
      <c r="C115" s="7"/>
      <c r="D115" s="96"/>
      <c r="E115" s="96"/>
      <c r="F115" s="98"/>
      <c r="G115" s="98"/>
      <c r="H115" s="98"/>
      <c r="I115" s="98"/>
      <c r="J115" s="6"/>
      <c r="K115" s="5"/>
      <c r="L115" s="5"/>
      <c r="M115" s="100"/>
      <c r="N115" s="100"/>
      <c r="O115" s="88"/>
      <c r="P115" s="100"/>
      <c r="Q115" s="100"/>
      <c r="R115" s="100"/>
      <c r="S115" s="97"/>
      <c r="T115" s="97"/>
      <c r="U115" s="23"/>
      <c r="V115" s="97"/>
      <c r="W115" s="97"/>
      <c r="X115" s="97"/>
      <c r="Y115" s="97"/>
      <c r="Z115" s="97"/>
      <c r="AA115" s="23"/>
      <c r="AB115" s="97"/>
      <c r="AC115" s="97"/>
      <c r="AD115" s="97"/>
      <c r="AE115" s="97"/>
      <c r="AF115" s="97"/>
      <c r="AG115" s="23"/>
      <c r="AH115" s="97"/>
      <c r="AI115" s="97"/>
      <c r="AJ115" s="97"/>
      <c r="AK115" s="88">
        <f t="shared" ref="AK115:AK126" si="27">M115+S115+Y115+AE115</f>
        <v>0</v>
      </c>
      <c r="AL115" s="88">
        <f t="shared" ref="AL115:AL126" si="28">N115+T115+Z115+AF115</f>
        <v>0</v>
      </c>
      <c r="AM115" s="88">
        <f t="shared" ref="AM115:AM126" si="29">O115+U115+AA115+AG115</f>
        <v>0</v>
      </c>
      <c r="AN115" s="88">
        <f t="shared" ref="AN115:AN126" si="30">P115+V115+AB115+AH115</f>
        <v>0</v>
      </c>
      <c r="AO115" s="88">
        <f t="shared" ref="AO115:AO126" si="31">Q115+W115+AC115+AI115</f>
        <v>0</v>
      </c>
      <c r="AP115" s="88">
        <f t="shared" ref="AP115:AP126" si="32">SUM(AK115:AO115)</f>
        <v>0</v>
      </c>
    </row>
    <row r="116" spans="1:42" s="79" customFormat="1" ht="127.5">
      <c r="A116" s="7" t="s">
        <v>312</v>
      </c>
      <c r="B116" s="7">
        <v>1</v>
      </c>
      <c r="C116" s="7">
        <v>100</v>
      </c>
      <c r="D116" s="96" t="s">
        <v>20</v>
      </c>
      <c r="E116" s="7" t="s">
        <v>22</v>
      </c>
      <c r="F116" s="98" t="s">
        <v>18</v>
      </c>
      <c r="G116" s="98" t="s">
        <v>287</v>
      </c>
      <c r="H116" s="101" t="s">
        <v>288</v>
      </c>
      <c r="I116" s="98"/>
      <c r="J116" s="6"/>
      <c r="K116" s="5" t="s">
        <v>315</v>
      </c>
      <c r="L116" s="5" t="s">
        <v>153</v>
      </c>
      <c r="M116" s="100">
        <v>44255644</v>
      </c>
      <c r="N116" s="100"/>
      <c r="O116" s="88"/>
      <c r="P116" s="100">
        <v>0</v>
      </c>
      <c r="Q116" s="100">
        <v>0</v>
      </c>
      <c r="R116" s="100">
        <f>M116+P116+Q116</f>
        <v>44255644</v>
      </c>
      <c r="S116" s="97">
        <v>47492937</v>
      </c>
      <c r="T116" s="97"/>
      <c r="U116" s="23"/>
      <c r="V116" s="97">
        <v>0</v>
      </c>
      <c r="W116" s="97">
        <v>0</v>
      </c>
      <c r="X116" s="97">
        <f>S116+V116+W116</f>
        <v>47492937</v>
      </c>
      <c r="Y116" s="97">
        <v>45671426</v>
      </c>
      <c r="Z116" s="97"/>
      <c r="AA116" s="23"/>
      <c r="AB116" s="97">
        <v>0</v>
      </c>
      <c r="AC116" s="97">
        <v>0</v>
      </c>
      <c r="AD116" s="97">
        <f>Y116+AB116+AC116</f>
        <v>45671426</v>
      </c>
      <c r="AE116" s="97">
        <v>32398640</v>
      </c>
      <c r="AF116" s="97"/>
      <c r="AG116" s="23"/>
      <c r="AH116" s="97">
        <v>0</v>
      </c>
      <c r="AI116" s="97">
        <v>0</v>
      </c>
      <c r="AJ116" s="97">
        <f>AE116+AH116+AI116</f>
        <v>32398640</v>
      </c>
      <c r="AK116" s="88">
        <f t="shared" si="27"/>
        <v>169818647</v>
      </c>
      <c r="AL116" s="88">
        <f t="shared" si="28"/>
        <v>0</v>
      </c>
      <c r="AM116" s="88">
        <f t="shared" si="29"/>
        <v>0</v>
      </c>
      <c r="AN116" s="88">
        <f t="shared" si="30"/>
        <v>0</v>
      </c>
      <c r="AO116" s="88">
        <f t="shared" si="31"/>
        <v>0</v>
      </c>
      <c r="AP116" s="88">
        <f t="shared" si="32"/>
        <v>169818647</v>
      </c>
    </row>
    <row r="117" spans="1:42" s="79" customFormat="1" ht="63.75">
      <c r="A117" s="498" t="s">
        <v>289</v>
      </c>
      <c r="B117" s="7">
        <v>3</v>
      </c>
      <c r="C117" s="7">
        <v>85</v>
      </c>
      <c r="D117" s="96" t="s">
        <v>16</v>
      </c>
      <c r="E117" s="7" t="s">
        <v>23</v>
      </c>
      <c r="F117" s="98" t="s">
        <v>18</v>
      </c>
      <c r="G117" s="98" t="s">
        <v>287</v>
      </c>
      <c r="H117" s="101" t="s">
        <v>288</v>
      </c>
      <c r="I117" s="98"/>
      <c r="J117" s="6"/>
      <c r="K117" s="5" t="s">
        <v>300</v>
      </c>
      <c r="L117" s="5" t="s">
        <v>153</v>
      </c>
      <c r="M117" s="506">
        <v>3406100</v>
      </c>
      <c r="N117" s="100"/>
      <c r="O117" s="88"/>
      <c r="P117" s="100">
        <v>0</v>
      </c>
      <c r="Q117" s="100">
        <v>0</v>
      </c>
      <c r="R117" s="506">
        <v>3406100</v>
      </c>
      <c r="S117" s="507">
        <v>2841310</v>
      </c>
      <c r="T117" s="97"/>
      <c r="U117" s="23"/>
      <c r="V117" s="97">
        <v>0</v>
      </c>
      <c r="W117" s="97">
        <v>0</v>
      </c>
      <c r="X117" s="495">
        <f>SUM(S117:W117)</f>
        <v>2841310</v>
      </c>
      <c r="Y117" s="495">
        <v>9026200</v>
      </c>
      <c r="Z117" s="97"/>
      <c r="AA117" s="23"/>
      <c r="AB117" s="97">
        <v>0</v>
      </c>
      <c r="AC117" s="97">
        <v>0</v>
      </c>
      <c r="AD117" s="495">
        <f>SUM(Y117:AC117)</f>
        <v>9026200</v>
      </c>
      <c r="AE117" s="495">
        <v>5079000</v>
      </c>
      <c r="AF117" s="97"/>
      <c r="AG117" s="23"/>
      <c r="AH117" s="97">
        <v>0</v>
      </c>
      <c r="AI117" s="97">
        <v>0</v>
      </c>
      <c r="AJ117" s="495">
        <f>SUM(AE117:AI117)</f>
        <v>5079000</v>
      </c>
      <c r="AK117" s="88">
        <f t="shared" si="27"/>
        <v>20352610</v>
      </c>
      <c r="AL117" s="88">
        <f t="shared" si="28"/>
        <v>0</v>
      </c>
      <c r="AM117" s="88">
        <f t="shared" si="29"/>
        <v>0</v>
      </c>
      <c r="AN117" s="88">
        <f t="shared" si="30"/>
        <v>0</v>
      </c>
      <c r="AO117" s="88">
        <f t="shared" si="31"/>
        <v>0</v>
      </c>
      <c r="AP117" s="88">
        <f t="shared" si="32"/>
        <v>20352610</v>
      </c>
    </row>
    <row r="118" spans="1:42" s="79" customFormat="1" ht="30" customHeight="1">
      <c r="A118" s="498"/>
      <c r="B118" s="7"/>
      <c r="C118" s="7"/>
      <c r="D118" s="96"/>
      <c r="E118" s="96"/>
      <c r="F118" s="102"/>
      <c r="G118" s="102"/>
      <c r="H118" s="98"/>
      <c r="I118" s="98"/>
      <c r="J118" s="6"/>
      <c r="K118" s="103" t="s">
        <v>301</v>
      </c>
      <c r="L118" s="5"/>
      <c r="M118" s="506"/>
      <c r="N118" s="100"/>
      <c r="O118" s="88"/>
      <c r="P118" s="100"/>
      <c r="Q118" s="100"/>
      <c r="R118" s="506"/>
      <c r="S118" s="507"/>
      <c r="T118" s="97"/>
      <c r="U118" s="23"/>
      <c r="V118" s="97"/>
      <c r="W118" s="97"/>
      <c r="X118" s="495"/>
      <c r="Y118" s="495"/>
      <c r="Z118" s="97"/>
      <c r="AA118" s="23"/>
      <c r="AB118" s="97"/>
      <c r="AC118" s="97"/>
      <c r="AD118" s="495"/>
      <c r="AE118" s="495"/>
      <c r="AF118" s="97"/>
      <c r="AG118" s="23"/>
      <c r="AH118" s="97"/>
      <c r="AI118" s="97"/>
      <c r="AJ118" s="495"/>
      <c r="AK118" s="88">
        <f t="shared" si="27"/>
        <v>0</v>
      </c>
      <c r="AL118" s="88">
        <f t="shared" si="28"/>
        <v>0</v>
      </c>
      <c r="AM118" s="88">
        <f t="shared" si="29"/>
        <v>0</v>
      </c>
      <c r="AN118" s="88">
        <f t="shared" si="30"/>
        <v>0</v>
      </c>
      <c r="AO118" s="88">
        <f t="shared" si="31"/>
        <v>0</v>
      </c>
      <c r="AP118" s="88">
        <f t="shared" si="32"/>
        <v>0</v>
      </c>
    </row>
    <row r="119" spans="1:42" s="79" customFormat="1" ht="30" customHeight="1">
      <c r="A119" s="498"/>
      <c r="B119" s="7"/>
      <c r="C119" s="7"/>
      <c r="D119" s="96"/>
      <c r="E119" s="96"/>
      <c r="F119" s="98"/>
      <c r="G119" s="98"/>
      <c r="H119" s="98"/>
      <c r="I119" s="98"/>
      <c r="J119" s="6"/>
      <c r="K119" s="103" t="s">
        <v>302</v>
      </c>
      <c r="L119" s="5"/>
      <c r="M119" s="97"/>
      <c r="N119" s="97"/>
      <c r="O119" s="505" t="s">
        <v>305</v>
      </c>
      <c r="P119" s="505"/>
      <c r="Q119" s="505"/>
      <c r="R119" s="505"/>
      <c r="S119" s="505"/>
      <c r="T119" s="505"/>
      <c r="U119" s="505"/>
      <c r="V119" s="505"/>
      <c r="W119" s="505"/>
      <c r="X119" s="505"/>
      <c r="Y119" s="505"/>
      <c r="Z119" s="505"/>
      <c r="AA119" s="505"/>
      <c r="AB119" s="505"/>
      <c r="AC119" s="505"/>
      <c r="AD119" s="505"/>
      <c r="AE119" s="505"/>
      <c r="AF119" s="505"/>
      <c r="AG119" s="505"/>
      <c r="AH119" s="505"/>
      <c r="AI119" s="505"/>
      <c r="AJ119" s="505"/>
      <c r="AK119" s="88"/>
      <c r="AL119" s="88"/>
      <c r="AM119" s="88"/>
      <c r="AN119" s="88"/>
      <c r="AO119" s="88"/>
      <c r="AP119" s="88">
        <f t="shared" si="32"/>
        <v>0</v>
      </c>
    </row>
    <row r="120" spans="1:42" s="79" customFormat="1" ht="51">
      <c r="A120" s="7" t="s">
        <v>316</v>
      </c>
      <c r="B120" s="7"/>
      <c r="C120" s="7"/>
      <c r="D120" s="96" t="s">
        <v>290</v>
      </c>
      <c r="E120" s="96"/>
      <c r="F120" s="98"/>
      <c r="G120" s="98"/>
      <c r="H120" s="98"/>
      <c r="I120" s="98"/>
      <c r="J120" s="6"/>
      <c r="K120" s="5" t="s">
        <v>303</v>
      </c>
      <c r="L120" s="7"/>
      <c r="M120" s="104">
        <v>729880000</v>
      </c>
      <c r="N120" s="100"/>
      <c r="O120" s="88"/>
      <c r="P120" s="100"/>
      <c r="Q120" s="100"/>
      <c r="R120" s="104">
        <v>729880000</v>
      </c>
      <c r="S120" s="105">
        <v>608850000</v>
      </c>
      <c r="T120" s="97"/>
      <c r="U120" s="23"/>
      <c r="V120" s="97"/>
      <c r="W120" s="97"/>
      <c r="X120" s="105">
        <v>608850000</v>
      </c>
      <c r="Y120" s="97">
        <v>1934185000</v>
      </c>
      <c r="Z120" s="97"/>
      <c r="AA120" s="23"/>
      <c r="AB120" s="97"/>
      <c r="AC120" s="97"/>
      <c r="AD120" s="97">
        <v>1934185000</v>
      </c>
      <c r="AE120" s="97">
        <v>1088355000</v>
      </c>
      <c r="AF120" s="97"/>
      <c r="AG120" s="23"/>
      <c r="AH120" s="97"/>
      <c r="AI120" s="97"/>
      <c r="AJ120" s="97">
        <v>1088355000</v>
      </c>
      <c r="AK120" s="88">
        <f t="shared" si="27"/>
        <v>4361270000</v>
      </c>
      <c r="AL120" s="88">
        <f t="shared" si="28"/>
        <v>0</v>
      </c>
      <c r="AM120" s="88">
        <f t="shared" si="29"/>
        <v>0</v>
      </c>
      <c r="AN120" s="88">
        <f t="shared" si="30"/>
        <v>0</v>
      </c>
      <c r="AO120" s="88">
        <f t="shared" si="31"/>
        <v>0</v>
      </c>
      <c r="AP120" s="88">
        <f t="shared" si="32"/>
        <v>4361270000</v>
      </c>
    </row>
    <row r="121" spans="1:42" s="79" customFormat="1" ht="127.5">
      <c r="A121" s="5" t="s">
        <v>291</v>
      </c>
      <c r="B121" s="5">
        <v>2</v>
      </c>
      <c r="C121" s="5">
        <v>95</v>
      </c>
      <c r="D121" s="96" t="s">
        <v>24</v>
      </c>
      <c r="E121" s="7" t="s">
        <v>33</v>
      </c>
      <c r="F121" s="5" t="s">
        <v>25</v>
      </c>
      <c r="G121" s="5" t="s">
        <v>26</v>
      </c>
      <c r="H121" s="101" t="s">
        <v>288</v>
      </c>
      <c r="I121" s="98"/>
      <c r="J121" s="6"/>
      <c r="K121" s="5" t="s">
        <v>317</v>
      </c>
      <c r="L121" s="5" t="s">
        <v>153</v>
      </c>
      <c r="M121" s="100">
        <v>296568</v>
      </c>
      <c r="N121" s="100"/>
      <c r="O121" s="88"/>
      <c r="P121" s="100">
        <v>353802</v>
      </c>
      <c r="Q121" s="100">
        <v>0</v>
      </c>
      <c r="R121" s="100">
        <f>M121+P121+Q121</f>
        <v>650370</v>
      </c>
      <c r="S121" s="97">
        <v>0</v>
      </c>
      <c r="T121" s="106"/>
      <c r="U121" s="23"/>
      <c r="V121" s="97">
        <v>0</v>
      </c>
      <c r="W121" s="97">
        <v>0</v>
      </c>
      <c r="X121" s="97">
        <f>S121+V121+W121</f>
        <v>0</v>
      </c>
      <c r="Y121" s="97">
        <v>0</v>
      </c>
      <c r="Z121" s="106"/>
      <c r="AA121" s="23"/>
      <c r="AB121" s="97">
        <v>0</v>
      </c>
      <c r="AC121" s="97">
        <v>0</v>
      </c>
      <c r="AD121" s="97">
        <f>Y121+AB121+AC121</f>
        <v>0</v>
      </c>
      <c r="AE121" s="97">
        <v>0</v>
      </c>
      <c r="AF121" s="97"/>
      <c r="AG121" s="23"/>
      <c r="AH121" s="97">
        <v>0</v>
      </c>
      <c r="AI121" s="97">
        <v>0</v>
      </c>
      <c r="AJ121" s="97">
        <f>AE121+AH121+AI121</f>
        <v>0</v>
      </c>
      <c r="AK121" s="88">
        <f t="shared" si="27"/>
        <v>296568</v>
      </c>
      <c r="AL121" s="88">
        <f t="shared" si="28"/>
        <v>0</v>
      </c>
      <c r="AM121" s="88">
        <f t="shared" si="29"/>
        <v>0</v>
      </c>
      <c r="AN121" s="88">
        <f>P121+V121+AB121+AH121</f>
        <v>353802</v>
      </c>
      <c r="AO121" s="88">
        <f t="shared" si="31"/>
        <v>0</v>
      </c>
      <c r="AP121" s="88">
        <f t="shared" si="32"/>
        <v>650370</v>
      </c>
    </row>
    <row r="122" spans="1:42" s="79" customFormat="1" ht="127.5">
      <c r="A122" s="5" t="s">
        <v>151</v>
      </c>
      <c r="B122" s="107" t="s">
        <v>152</v>
      </c>
      <c r="C122" s="107" t="s">
        <v>152</v>
      </c>
      <c r="D122" s="96" t="s">
        <v>328</v>
      </c>
      <c r="E122" s="96"/>
      <c r="F122" s="5" t="s">
        <v>25</v>
      </c>
      <c r="G122" s="5" t="s">
        <v>27</v>
      </c>
      <c r="H122" s="101" t="s">
        <v>288</v>
      </c>
      <c r="I122" s="98"/>
      <c r="J122" s="6"/>
      <c r="K122" s="5" t="s">
        <v>318</v>
      </c>
      <c r="L122" s="5" t="s">
        <v>153</v>
      </c>
      <c r="M122" s="100">
        <v>487114</v>
      </c>
      <c r="N122" s="100"/>
      <c r="O122" s="88"/>
      <c r="P122" s="100"/>
      <c r="Q122" s="100">
        <v>0</v>
      </c>
      <c r="R122" s="100">
        <f>M122+P122+Q122</f>
        <v>487114</v>
      </c>
      <c r="S122" s="97">
        <v>2427346</v>
      </c>
      <c r="T122" s="106"/>
      <c r="U122" s="23"/>
      <c r="V122" s="97">
        <v>7543050</v>
      </c>
      <c r="W122" s="97">
        <v>0</v>
      </c>
      <c r="X122" s="97">
        <f>S122+V122+W122</f>
        <v>9970396</v>
      </c>
      <c r="Y122" s="97">
        <v>2969593</v>
      </c>
      <c r="Z122" s="106"/>
      <c r="AA122" s="23"/>
      <c r="AB122" s="97">
        <v>10432635</v>
      </c>
      <c r="AC122" s="97">
        <v>0</v>
      </c>
      <c r="AD122" s="97">
        <f>Y122+AB122+AC122</f>
        <v>13402228</v>
      </c>
      <c r="AE122" s="97">
        <v>2328241</v>
      </c>
      <c r="AF122" s="97"/>
      <c r="AG122" s="23"/>
      <c r="AH122" s="97">
        <v>8371375</v>
      </c>
      <c r="AI122" s="97">
        <v>0</v>
      </c>
      <c r="AJ122" s="97">
        <f>AE122+AH122+AI122</f>
        <v>10699616</v>
      </c>
      <c r="AK122" s="88">
        <f t="shared" si="27"/>
        <v>8212294</v>
      </c>
      <c r="AL122" s="88">
        <f t="shared" si="28"/>
        <v>0</v>
      </c>
      <c r="AM122" s="88">
        <f t="shared" si="29"/>
        <v>0</v>
      </c>
      <c r="AN122" s="88">
        <f t="shared" si="30"/>
        <v>26347060</v>
      </c>
      <c r="AO122" s="88">
        <f t="shared" si="31"/>
        <v>0</v>
      </c>
      <c r="AP122" s="88">
        <f t="shared" si="32"/>
        <v>34559354</v>
      </c>
    </row>
    <row r="123" spans="1:42" s="79" customFormat="1" ht="89.25">
      <c r="A123" s="5" t="s">
        <v>292</v>
      </c>
      <c r="B123" s="5">
        <v>3</v>
      </c>
      <c r="C123" s="5">
        <v>85</v>
      </c>
      <c r="D123" s="96" t="s">
        <v>29</v>
      </c>
      <c r="E123" s="96" t="s">
        <v>293</v>
      </c>
      <c r="F123" s="98" t="s">
        <v>18</v>
      </c>
      <c r="G123" s="98" t="s">
        <v>287</v>
      </c>
      <c r="H123" s="101" t="s">
        <v>288</v>
      </c>
      <c r="I123" s="98"/>
      <c r="J123" s="6"/>
      <c r="K123" s="5" t="s">
        <v>319</v>
      </c>
      <c r="L123" s="5" t="s">
        <v>153</v>
      </c>
      <c r="M123" s="100">
        <v>1532953</v>
      </c>
      <c r="N123" s="100"/>
      <c r="O123" s="88"/>
      <c r="P123" s="100">
        <v>0</v>
      </c>
      <c r="Q123" s="100">
        <v>0</v>
      </c>
      <c r="R123" s="100">
        <f>M123+P123+Q123</f>
        <v>1532953</v>
      </c>
      <c r="S123" s="97">
        <v>3104554</v>
      </c>
      <c r="T123" s="97"/>
      <c r="U123" s="23"/>
      <c r="V123" s="97">
        <v>0</v>
      </c>
      <c r="W123" s="97">
        <v>0</v>
      </c>
      <c r="X123" s="97">
        <f>S123+V123+W123</f>
        <v>3104554</v>
      </c>
      <c r="Y123" s="97">
        <v>7893504</v>
      </c>
      <c r="Z123" s="97"/>
      <c r="AA123" s="23"/>
      <c r="AB123" s="97">
        <v>0</v>
      </c>
      <c r="AC123" s="97">
        <v>0</v>
      </c>
      <c r="AD123" s="97">
        <f>Y123+AB123+AC123</f>
        <v>7893504</v>
      </c>
      <c r="AE123" s="97">
        <v>0</v>
      </c>
      <c r="AF123" s="97"/>
      <c r="AG123" s="23"/>
      <c r="AH123" s="97">
        <v>0</v>
      </c>
      <c r="AI123" s="97">
        <v>0</v>
      </c>
      <c r="AJ123" s="97">
        <f>AE123+AH123+AI123</f>
        <v>0</v>
      </c>
      <c r="AK123" s="88">
        <f t="shared" si="27"/>
        <v>12531011</v>
      </c>
      <c r="AL123" s="88">
        <f t="shared" si="28"/>
        <v>0</v>
      </c>
      <c r="AM123" s="88">
        <f t="shared" si="29"/>
        <v>0</v>
      </c>
      <c r="AN123" s="88">
        <f t="shared" si="30"/>
        <v>0</v>
      </c>
      <c r="AO123" s="88">
        <f t="shared" si="31"/>
        <v>0</v>
      </c>
      <c r="AP123" s="88">
        <f t="shared" si="32"/>
        <v>12531011</v>
      </c>
    </row>
    <row r="124" spans="1:42" s="79" customFormat="1" ht="63.75">
      <c r="A124" s="5" t="s">
        <v>294</v>
      </c>
      <c r="B124" s="5">
        <v>3</v>
      </c>
      <c r="C124" s="5">
        <v>85</v>
      </c>
      <c r="D124" s="96" t="s">
        <v>16</v>
      </c>
      <c r="E124" s="96" t="s">
        <v>34</v>
      </c>
      <c r="F124" s="98" t="s">
        <v>18</v>
      </c>
      <c r="G124" s="98" t="s">
        <v>287</v>
      </c>
      <c r="H124" s="101" t="s">
        <v>288</v>
      </c>
      <c r="I124" s="98"/>
      <c r="J124" s="6"/>
      <c r="K124" s="5" t="s">
        <v>304</v>
      </c>
      <c r="L124" s="5" t="s">
        <v>153</v>
      </c>
      <c r="M124" s="100">
        <v>2960789</v>
      </c>
      <c r="N124" s="100"/>
      <c r="O124" s="88"/>
      <c r="P124" s="100">
        <v>0</v>
      </c>
      <c r="Q124" s="100">
        <v>0</v>
      </c>
      <c r="R124" s="100">
        <f>M124+P124+Q124</f>
        <v>2960789</v>
      </c>
      <c r="S124" s="97">
        <v>3108828</v>
      </c>
      <c r="T124" s="97"/>
      <c r="U124" s="23"/>
      <c r="V124" s="97">
        <v>0</v>
      </c>
      <c r="W124" s="97">
        <v>0</v>
      </c>
      <c r="X124" s="97">
        <f>S124+V124+W124</f>
        <v>3108828</v>
      </c>
      <c r="Y124" s="97">
        <v>3506044</v>
      </c>
      <c r="Z124" s="97"/>
      <c r="AA124" s="23"/>
      <c r="AB124" s="97">
        <v>0</v>
      </c>
      <c r="AC124" s="97">
        <v>0</v>
      </c>
      <c r="AD124" s="97">
        <f>Y124+AB124+AC124</f>
        <v>3506044</v>
      </c>
      <c r="AE124" s="97">
        <v>0</v>
      </c>
      <c r="AF124" s="97"/>
      <c r="AG124" s="23"/>
      <c r="AH124" s="97">
        <v>0</v>
      </c>
      <c r="AI124" s="97">
        <v>0</v>
      </c>
      <c r="AJ124" s="97">
        <f>AE124+AH124+AI124</f>
        <v>0</v>
      </c>
      <c r="AK124" s="88">
        <f t="shared" si="27"/>
        <v>9575661</v>
      </c>
      <c r="AL124" s="88">
        <f t="shared" si="28"/>
        <v>0</v>
      </c>
      <c r="AM124" s="88">
        <f t="shared" si="29"/>
        <v>0</v>
      </c>
      <c r="AN124" s="88">
        <f t="shared" si="30"/>
        <v>0</v>
      </c>
      <c r="AO124" s="88">
        <f t="shared" si="31"/>
        <v>0</v>
      </c>
      <c r="AP124" s="88">
        <f t="shared" si="32"/>
        <v>9575661</v>
      </c>
    </row>
    <row r="125" spans="1:42" s="79" customFormat="1" ht="229.5">
      <c r="A125" s="5" t="s">
        <v>295</v>
      </c>
      <c r="B125" s="5">
        <v>1</v>
      </c>
      <c r="C125" s="5">
        <v>100</v>
      </c>
      <c r="D125" s="96" t="s">
        <v>30</v>
      </c>
      <c r="E125" s="96" t="s">
        <v>35</v>
      </c>
      <c r="F125" s="5" t="s">
        <v>25</v>
      </c>
      <c r="G125" s="5" t="s">
        <v>296</v>
      </c>
      <c r="H125" s="101" t="s">
        <v>288</v>
      </c>
      <c r="I125" s="98"/>
      <c r="J125" s="6"/>
      <c r="K125" s="5" t="s">
        <v>320</v>
      </c>
      <c r="L125" s="5" t="s">
        <v>153</v>
      </c>
      <c r="M125" s="100">
        <v>0</v>
      </c>
      <c r="N125" s="100"/>
      <c r="O125" s="88"/>
      <c r="P125" s="100">
        <v>0</v>
      </c>
      <c r="Q125" s="100">
        <v>0</v>
      </c>
      <c r="R125" s="100">
        <f>M125+P125+Q125</f>
        <v>0</v>
      </c>
      <c r="S125" s="97">
        <v>0</v>
      </c>
      <c r="T125" s="97"/>
      <c r="U125" s="23"/>
      <c r="V125" s="97">
        <v>0</v>
      </c>
      <c r="W125" s="97">
        <v>0</v>
      </c>
      <c r="X125" s="97">
        <f>S125+V125+W125</f>
        <v>0</v>
      </c>
      <c r="Y125" s="97">
        <v>0</v>
      </c>
      <c r="Z125" s="97"/>
      <c r="AA125" s="23"/>
      <c r="AB125" s="97">
        <v>0</v>
      </c>
      <c r="AC125" s="97">
        <v>0</v>
      </c>
      <c r="AD125" s="97">
        <v>0</v>
      </c>
      <c r="AE125" s="97">
        <v>0</v>
      </c>
      <c r="AF125" s="97"/>
      <c r="AG125" s="23"/>
      <c r="AH125" s="97">
        <v>0</v>
      </c>
      <c r="AI125" s="97">
        <v>0</v>
      </c>
      <c r="AJ125" s="97">
        <f>AE125+AH125+AI125</f>
        <v>0</v>
      </c>
      <c r="AK125" s="88">
        <f t="shared" si="27"/>
        <v>0</v>
      </c>
      <c r="AL125" s="88">
        <f t="shared" si="28"/>
        <v>0</v>
      </c>
      <c r="AM125" s="88">
        <f t="shared" si="29"/>
        <v>0</v>
      </c>
      <c r="AN125" s="88">
        <f t="shared" si="30"/>
        <v>0</v>
      </c>
      <c r="AO125" s="88">
        <f t="shared" si="31"/>
        <v>0</v>
      </c>
      <c r="AP125" s="88">
        <f t="shared" si="32"/>
        <v>0</v>
      </c>
    </row>
    <row r="126" spans="1:42" s="79" customFormat="1" ht="127.5">
      <c r="A126" s="7" t="s">
        <v>297</v>
      </c>
      <c r="B126" s="7" t="s">
        <v>152</v>
      </c>
      <c r="C126" s="7" t="s">
        <v>152</v>
      </c>
      <c r="D126" s="96" t="s">
        <v>31</v>
      </c>
      <c r="E126" s="96" t="s">
        <v>36</v>
      </c>
      <c r="F126" s="5" t="s">
        <v>25</v>
      </c>
      <c r="G126" s="5" t="s">
        <v>298</v>
      </c>
      <c r="H126" s="5" t="s">
        <v>32</v>
      </c>
      <c r="I126" s="103" t="s">
        <v>299</v>
      </c>
      <c r="J126" s="6"/>
      <c r="K126" s="5" t="s">
        <v>321</v>
      </c>
      <c r="L126" s="5" t="s">
        <v>153</v>
      </c>
      <c r="M126" s="100">
        <v>0</v>
      </c>
      <c r="N126" s="100"/>
      <c r="O126" s="88"/>
      <c r="P126" s="100">
        <v>0</v>
      </c>
      <c r="Q126" s="100">
        <v>0</v>
      </c>
      <c r="R126" s="100">
        <f>SUM(M126:Q126)</f>
        <v>0</v>
      </c>
      <c r="S126" s="97">
        <v>0</v>
      </c>
      <c r="T126" s="97"/>
      <c r="U126" s="23"/>
      <c r="V126" s="97">
        <v>0</v>
      </c>
      <c r="W126" s="97">
        <v>0</v>
      </c>
      <c r="X126" s="97">
        <f>SUM(S126:W126)</f>
        <v>0</v>
      </c>
      <c r="Y126" s="97">
        <v>0</v>
      </c>
      <c r="Z126" s="97"/>
      <c r="AA126" s="23"/>
      <c r="AB126" s="97">
        <v>0</v>
      </c>
      <c r="AC126" s="97">
        <v>0</v>
      </c>
      <c r="AD126" s="97">
        <f>SUM(Y126:AC126)</f>
        <v>0</v>
      </c>
      <c r="AE126" s="97">
        <v>0</v>
      </c>
      <c r="AF126" s="97"/>
      <c r="AG126" s="23"/>
      <c r="AH126" s="97">
        <v>0</v>
      </c>
      <c r="AI126" s="97">
        <v>0</v>
      </c>
      <c r="AJ126" s="97">
        <f>SUM(AE126:AI126)</f>
        <v>0</v>
      </c>
      <c r="AK126" s="88">
        <f t="shared" si="27"/>
        <v>0</v>
      </c>
      <c r="AL126" s="88">
        <f t="shared" si="28"/>
        <v>0</v>
      </c>
      <c r="AM126" s="88">
        <f t="shared" si="29"/>
        <v>0</v>
      </c>
      <c r="AN126" s="88">
        <f t="shared" si="30"/>
        <v>0</v>
      </c>
      <c r="AO126" s="88">
        <f t="shared" si="31"/>
        <v>0</v>
      </c>
      <c r="AP126" s="88">
        <f t="shared" si="32"/>
        <v>0</v>
      </c>
    </row>
    <row r="127" spans="1:42" s="79" customFormat="1" ht="63.75">
      <c r="A127" s="3" t="s">
        <v>183</v>
      </c>
      <c r="B127" s="23"/>
      <c r="C127" s="23"/>
      <c r="D127" s="4" t="s">
        <v>38</v>
      </c>
      <c r="E127" s="10"/>
      <c r="F127" s="4"/>
      <c r="G127" s="4"/>
      <c r="H127" s="4"/>
      <c r="I127" s="103"/>
      <c r="J127" s="6"/>
      <c r="K127" s="5"/>
      <c r="L127" s="5"/>
      <c r="M127" s="100"/>
      <c r="N127" s="100"/>
      <c r="O127" s="88"/>
      <c r="P127" s="100"/>
      <c r="Q127" s="100"/>
      <c r="R127" s="100"/>
      <c r="S127" s="97"/>
      <c r="T127" s="97"/>
      <c r="U127" s="23"/>
      <c r="V127" s="97"/>
      <c r="W127" s="97"/>
      <c r="X127" s="97"/>
      <c r="Y127" s="97"/>
      <c r="Z127" s="97"/>
      <c r="AA127" s="23"/>
      <c r="AB127" s="97"/>
      <c r="AC127" s="97"/>
      <c r="AD127" s="97"/>
      <c r="AE127" s="97"/>
      <c r="AF127" s="97"/>
      <c r="AG127" s="23"/>
      <c r="AH127" s="97"/>
      <c r="AI127" s="97"/>
      <c r="AJ127" s="97"/>
      <c r="AK127" s="88"/>
      <c r="AL127" s="88"/>
      <c r="AM127" s="88"/>
      <c r="AN127" s="88"/>
      <c r="AO127" s="88"/>
      <c r="AP127" s="88"/>
    </row>
    <row r="128" spans="1:42" s="79" customFormat="1" ht="25.5">
      <c r="A128" s="2" t="s">
        <v>184</v>
      </c>
      <c r="B128" s="23"/>
      <c r="C128" s="23"/>
      <c r="D128" s="4" t="s">
        <v>38</v>
      </c>
      <c r="E128" s="10"/>
      <c r="F128" s="4"/>
      <c r="G128" s="4"/>
      <c r="H128" s="4"/>
      <c r="I128" s="103"/>
      <c r="J128" s="6"/>
      <c r="K128" s="5"/>
      <c r="L128" s="5"/>
      <c r="M128" s="100"/>
      <c r="N128" s="100"/>
      <c r="O128" s="88"/>
      <c r="P128" s="100"/>
      <c r="Q128" s="100"/>
      <c r="R128" s="100"/>
      <c r="S128" s="97"/>
      <c r="T128" s="97"/>
      <c r="U128" s="23"/>
      <c r="V128" s="97"/>
      <c r="W128" s="97"/>
      <c r="X128" s="97"/>
      <c r="Y128" s="97"/>
      <c r="Z128" s="97"/>
      <c r="AA128" s="23"/>
      <c r="AB128" s="97"/>
      <c r="AC128" s="97"/>
      <c r="AD128" s="97"/>
      <c r="AE128" s="97"/>
      <c r="AF128" s="97"/>
      <c r="AG128" s="23"/>
      <c r="AH128" s="97"/>
      <c r="AI128" s="97"/>
      <c r="AJ128" s="97"/>
      <c r="AK128" s="88"/>
      <c r="AL128" s="88"/>
      <c r="AM128" s="88"/>
      <c r="AN128" s="88"/>
      <c r="AO128" s="88"/>
      <c r="AP128" s="88"/>
    </row>
    <row r="129" spans="1:42" s="79" customFormat="1" ht="76.5" customHeight="1">
      <c r="A129" s="2" t="s">
        <v>44</v>
      </c>
      <c r="B129" s="23"/>
      <c r="C129" s="23"/>
      <c r="D129" s="4" t="s">
        <v>39</v>
      </c>
      <c r="E129" s="10" t="s">
        <v>40</v>
      </c>
      <c r="F129" s="4" t="s">
        <v>41</v>
      </c>
      <c r="G129" s="4" t="s">
        <v>19</v>
      </c>
      <c r="H129" s="4" t="s">
        <v>42</v>
      </c>
      <c r="I129" s="103"/>
      <c r="J129" s="6"/>
      <c r="K129" s="5"/>
      <c r="L129" s="5"/>
      <c r="M129" s="100">
        <v>441488</v>
      </c>
      <c r="N129" s="100"/>
      <c r="O129" s="88"/>
      <c r="P129" s="100"/>
      <c r="Q129" s="100"/>
      <c r="R129" s="100">
        <f>SUM(M129:Q129)</f>
        <v>441488</v>
      </c>
      <c r="S129" s="97">
        <v>541249</v>
      </c>
      <c r="T129" s="97"/>
      <c r="U129" s="23"/>
      <c r="V129" s="97"/>
      <c r="W129" s="97"/>
      <c r="X129" s="97">
        <f>SUM(S129:W129)</f>
        <v>541249</v>
      </c>
      <c r="Y129" s="97">
        <v>1658880</v>
      </c>
      <c r="Z129" s="97"/>
      <c r="AA129" s="23"/>
      <c r="AB129" s="97"/>
      <c r="AC129" s="97"/>
      <c r="AD129" s="97">
        <f>SUM(Y129:AC129)</f>
        <v>1658880</v>
      </c>
      <c r="AE129" s="97">
        <v>1990656</v>
      </c>
      <c r="AF129" s="97"/>
      <c r="AG129" s="23"/>
      <c r="AH129" s="97"/>
      <c r="AI129" s="97"/>
      <c r="AJ129" s="97">
        <f>SUM(AE129:AI129)</f>
        <v>1990656</v>
      </c>
      <c r="AK129" s="88">
        <f t="shared" ref="AK129:AO132" si="33">M129+S129+Y129+AE129</f>
        <v>4632273</v>
      </c>
      <c r="AL129" s="88">
        <f t="shared" si="33"/>
        <v>0</v>
      </c>
      <c r="AM129" s="88">
        <f t="shared" si="33"/>
        <v>0</v>
      </c>
      <c r="AN129" s="88">
        <f t="shared" si="33"/>
        <v>0</v>
      </c>
      <c r="AO129" s="88">
        <f t="shared" si="33"/>
        <v>0</v>
      </c>
      <c r="AP129" s="88">
        <f>SUM(AK129:AO129)</f>
        <v>4632273</v>
      </c>
    </row>
    <row r="130" spans="1:42" s="79" customFormat="1" ht="114.75" customHeight="1">
      <c r="A130" s="2" t="s">
        <v>45</v>
      </c>
      <c r="B130" s="23"/>
      <c r="C130" s="23"/>
      <c r="D130" s="4" t="s">
        <v>39</v>
      </c>
      <c r="E130" s="10" t="s">
        <v>43</v>
      </c>
      <c r="F130" s="4" t="s">
        <v>18</v>
      </c>
      <c r="G130" s="4" t="s">
        <v>19</v>
      </c>
      <c r="H130" s="4" t="s">
        <v>42</v>
      </c>
      <c r="I130" s="103"/>
      <c r="J130" s="6"/>
      <c r="K130" s="5"/>
      <c r="L130" s="5"/>
      <c r="M130" s="100">
        <v>330416</v>
      </c>
      <c r="N130" s="100"/>
      <c r="O130" s="88"/>
      <c r="P130" s="100"/>
      <c r="Q130" s="100"/>
      <c r="R130" s="100">
        <f>SUM(M130:Q130)</f>
        <v>330416</v>
      </c>
      <c r="S130" s="97">
        <v>469866</v>
      </c>
      <c r="T130" s="97"/>
      <c r="U130" s="23"/>
      <c r="V130" s="97"/>
      <c r="W130" s="97"/>
      <c r="X130" s="97">
        <f>SUM(S130:W130)</f>
        <v>469866</v>
      </c>
      <c r="Y130" s="97">
        <v>861430</v>
      </c>
      <c r="Z130" s="97"/>
      <c r="AA130" s="23"/>
      <c r="AB130" s="97"/>
      <c r="AC130" s="97"/>
      <c r="AD130" s="97">
        <f>SUM(Y130:AC130)</f>
        <v>861430</v>
      </c>
      <c r="AE130" s="97">
        <v>947570</v>
      </c>
      <c r="AF130" s="97"/>
      <c r="AG130" s="23"/>
      <c r="AH130" s="97"/>
      <c r="AI130" s="97"/>
      <c r="AJ130" s="97">
        <f>SUM(AE130:AI130)</f>
        <v>947570</v>
      </c>
      <c r="AK130" s="88">
        <f t="shared" si="33"/>
        <v>2609282</v>
      </c>
      <c r="AL130" s="88">
        <f t="shared" si="33"/>
        <v>0</v>
      </c>
      <c r="AM130" s="88">
        <f t="shared" si="33"/>
        <v>0</v>
      </c>
      <c r="AN130" s="88">
        <f t="shared" si="33"/>
        <v>0</v>
      </c>
      <c r="AO130" s="88">
        <f t="shared" si="33"/>
        <v>0</v>
      </c>
      <c r="AP130" s="88">
        <f>SUM(AK130:AO130)</f>
        <v>2609282</v>
      </c>
    </row>
    <row r="131" spans="1:42" s="79" customFormat="1" ht="30" customHeight="1">
      <c r="A131" s="3" t="s">
        <v>145</v>
      </c>
      <c r="B131" s="23"/>
      <c r="C131" s="23"/>
      <c r="D131" s="4"/>
      <c r="E131" s="19"/>
      <c r="F131" s="17"/>
      <c r="G131" s="17"/>
      <c r="H131" s="17"/>
      <c r="I131" s="103"/>
      <c r="J131" s="6"/>
      <c r="K131" s="5"/>
      <c r="L131" s="5"/>
      <c r="M131" s="100"/>
      <c r="N131" s="100"/>
      <c r="O131" s="88"/>
      <c r="P131" s="100"/>
      <c r="Q131" s="100"/>
      <c r="R131" s="100">
        <f>SUM(M131:Q131)</f>
        <v>0</v>
      </c>
      <c r="S131" s="97"/>
      <c r="T131" s="97"/>
      <c r="U131" s="23"/>
      <c r="V131" s="97"/>
      <c r="W131" s="97"/>
      <c r="X131" s="97">
        <f>SUM(S131:W131)</f>
        <v>0</v>
      </c>
      <c r="Y131" s="97"/>
      <c r="Z131" s="97"/>
      <c r="AA131" s="23"/>
      <c r="AB131" s="97"/>
      <c r="AC131" s="97"/>
      <c r="AD131" s="97">
        <f>SUM(Y131:AC131)</f>
        <v>0</v>
      </c>
      <c r="AE131" s="97"/>
      <c r="AF131" s="97"/>
      <c r="AG131" s="23"/>
      <c r="AH131" s="97"/>
      <c r="AI131" s="97"/>
      <c r="AJ131" s="97">
        <f>SUM(AE131:AI131)</f>
        <v>0</v>
      </c>
      <c r="AK131" s="88">
        <f t="shared" si="33"/>
        <v>0</v>
      </c>
      <c r="AL131" s="88">
        <f t="shared" si="33"/>
        <v>0</v>
      </c>
      <c r="AM131" s="88">
        <f t="shared" si="33"/>
        <v>0</v>
      </c>
      <c r="AN131" s="88">
        <f t="shared" si="33"/>
        <v>0</v>
      </c>
      <c r="AO131" s="88">
        <f t="shared" si="33"/>
        <v>0</v>
      </c>
      <c r="AP131" s="88">
        <f>SUM(AK131:AO131)</f>
        <v>0</v>
      </c>
    </row>
    <row r="132" spans="1:42" s="79" customFormat="1" ht="161.25" customHeight="1">
      <c r="A132" s="2" t="s">
        <v>146</v>
      </c>
      <c r="B132" s="23"/>
      <c r="C132" s="23"/>
      <c r="D132" s="4" t="s">
        <v>150</v>
      </c>
      <c r="E132" s="10" t="s">
        <v>147</v>
      </c>
      <c r="F132" s="4" t="s">
        <v>18</v>
      </c>
      <c r="G132" s="4" t="s">
        <v>148</v>
      </c>
      <c r="H132" s="4" t="s">
        <v>149</v>
      </c>
      <c r="I132" s="103"/>
      <c r="J132" s="6"/>
      <c r="K132" s="5"/>
      <c r="L132" s="5"/>
      <c r="M132" s="100">
        <v>525000</v>
      </c>
      <c r="N132" s="100"/>
      <c r="O132" s="88"/>
      <c r="P132" s="100"/>
      <c r="Q132" s="100"/>
      <c r="R132" s="100">
        <f>SUM(M132:Q132)</f>
        <v>525000</v>
      </c>
      <c r="S132" s="97">
        <v>875000</v>
      </c>
      <c r="T132" s="97"/>
      <c r="U132" s="23"/>
      <c r="V132" s="97"/>
      <c r="W132" s="97"/>
      <c r="X132" s="97">
        <f>SUM(S132:W132)</f>
        <v>875000</v>
      </c>
      <c r="Y132" s="97">
        <v>1050000</v>
      </c>
      <c r="Z132" s="97"/>
      <c r="AA132" s="23"/>
      <c r="AB132" s="97"/>
      <c r="AC132" s="97"/>
      <c r="AD132" s="97">
        <f>SUM(Y132:AC132)</f>
        <v>1050000</v>
      </c>
      <c r="AE132" s="97">
        <v>1050000</v>
      </c>
      <c r="AF132" s="97"/>
      <c r="AG132" s="23"/>
      <c r="AH132" s="97"/>
      <c r="AI132" s="97"/>
      <c r="AJ132" s="97">
        <f>SUM(AE132:AI132)</f>
        <v>1050000</v>
      </c>
      <c r="AK132" s="88">
        <f t="shared" si="33"/>
        <v>3500000</v>
      </c>
      <c r="AL132" s="88">
        <f t="shared" si="33"/>
        <v>0</v>
      </c>
      <c r="AM132" s="88">
        <f t="shared" si="33"/>
        <v>0</v>
      </c>
      <c r="AN132" s="88">
        <f t="shared" si="33"/>
        <v>0</v>
      </c>
      <c r="AO132" s="88">
        <f t="shared" si="33"/>
        <v>0</v>
      </c>
      <c r="AP132" s="88">
        <f>SUM(AK132:AO132)</f>
        <v>3500000</v>
      </c>
    </row>
    <row r="133" spans="1:42" s="79" customFormat="1" ht="25.5">
      <c r="A133" s="27" t="s">
        <v>193</v>
      </c>
      <c r="B133" s="28"/>
      <c r="C133" s="28"/>
      <c r="D133" s="28"/>
      <c r="E133" s="28"/>
      <c r="F133" s="28"/>
      <c r="G133" s="28"/>
      <c r="H133" s="28"/>
      <c r="I133" s="28"/>
      <c r="J133" s="28"/>
      <c r="K133" s="28"/>
      <c r="L133" s="28"/>
      <c r="M133" s="92">
        <f>SUM(M114:M132)</f>
        <v>784216072</v>
      </c>
      <c r="N133" s="92">
        <f>SUM(N114:N132)</f>
        <v>0</v>
      </c>
      <c r="O133" s="92">
        <f>SUM(O114:O132)</f>
        <v>0</v>
      </c>
      <c r="P133" s="92">
        <f>SUM(P114:P132)</f>
        <v>353802</v>
      </c>
      <c r="Q133" s="92">
        <f>SUM(Q114:Q132)</f>
        <v>0</v>
      </c>
      <c r="R133" s="92">
        <f>SUM(M133:Q133)</f>
        <v>784569874</v>
      </c>
      <c r="S133" s="92">
        <f>SUM(S114:S132)</f>
        <v>671381640</v>
      </c>
      <c r="T133" s="92">
        <f>SUM(T114:T132)</f>
        <v>0</v>
      </c>
      <c r="U133" s="92">
        <f>SUM(U114:U132)</f>
        <v>0</v>
      </c>
      <c r="V133" s="92">
        <f>SUM(V114:V132)</f>
        <v>7543050</v>
      </c>
      <c r="W133" s="92">
        <f>SUM(W114:W132)</f>
        <v>0</v>
      </c>
      <c r="X133" s="108">
        <f>SUM(S133:W133)</f>
        <v>678924690</v>
      </c>
      <c r="Y133" s="92">
        <f>SUM(Y114:Y132)</f>
        <v>2007635770</v>
      </c>
      <c r="Z133" s="92">
        <f>SUM(Z114:Z132)</f>
        <v>0</v>
      </c>
      <c r="AA133" s="92">
        <f>SUM(AA114:AA132)</f>
        <v>0</v>
      </c>
      <c r="AB133" s="92">
        <f>SUM(AB114:AB132)</f>
        <v>10432635</v>
      </c>
      <c r="AC133" s="92">
        <f>SUM(AC114:AC132)</f>
        <v>0</v>
      </c>
      <c r="AD133" s="108">
        <f>SUM(Y133:AC133)</f>
        <v>2018068405</v>
      </c>
      <c r="AE133" s="92">
        <f>SUM(AE114:AE132)</f>
        <v>1132332078</v>
      </c>
      <c r="AF133" s="92">
        <f>SUM(AF114:AF132)</f>
        <v>0</v>
      </c>
      <c r="AG133" s="92">
        <f>SUM(AG114:AG132)</f>
        <v>0</v>
      </c>
      <c r="AH133" s="92">
        <f>SUM(AH114:AH132)</f>
        <v>8371375</v>
      </c>
      <c r="AI133" s="92">
        <f>SUM(AI114:AI132)</f>
        <v>0</v>
      </c>
      <c r="AJ133" s="108">
        <f>SUM(AE133:AI133)</f>
        <v>1140703453</v>
      </c>
      <c r="AK133" s="92">
        <f>SUM(AK114:AK132)</f>
        <v>4595565560</v>
      </c>
      <c r="AL133" s="92">
        <f>SUM(AL114:AL132)</f>
        <v>0</v>
      </c>
      <c r="AM133" s="92">
        <f>SUM(AM114:AM132)</f>
        <v>0</v>
      </c>
      <c r="AN133" s="92">
        <f>SUM(AN114:AN132)</f>
        <v>26700862</v>
      </c>
      <c r="AO133" s="92">
        <f>SUM(AO114:AO132)</f>
        <v>0</v>
      </c>
      <c r="AP133" s="92">
        <f>SUM(AK133:AO133)</f>
        <v>4622266422</v>
      </c>
    </row>
    <row r="134" spans="1:42">
      <c r="A134" s="77"/>
      <c r="B134" s="78"/>
      <c r="C134" s="78"/>
      <c r="D134" s="79"/>
      <c r="E134" s="79"/>
      <c r="F134" s="79"/>
      <c r="G134" s="80"/>
      <c r="H134" s="80"/>
      <c r="I134" s="80"/>
      <c r="J134" s="80"/>
      <c r="K134" s="80"/>
      <c r="L134" s="80"/>
      <c r="M134" s="81"/>
      <c r="N134" s="81"/>
      <c r="O134" s="81"/>
      <c r="P134" s="81"/>
      <c r="Q134" s="81"/>
      <c r="R134" s="81"/>
      <c r="S134" s="81"/>
      <c r="T134" s="81"/>
      <c r="U134" s="81"/>
      <c r="V134" s="81"/>
      <c r="W134" s="81"/>
      <c r="X134" s="81"/>
      <c r="Y134" s="81"/>
      <c r="Z134" s="81"/>
      <c r="AA134" s="81"/>
      <c r="AB134" s="81"/>
      <c r="AC134" s="81"/>
      <c r="AD134" s="81"/>
      <c r="AE134" s="81"/>
      <c r="AF134" s="81"/>
      <c r="AG134" s="81"/>
      <c r="AH134" s="81"/>
      <c r="AI134" s="81"/>
      <c r="AJ134" s="81"/>
      <c r="AK134" s="81"/>
      <c r="AL134" s="81"/>
      <c r="AM134" s="81"/>
      <c r="AN134" s="81"/>
      <c r="AO134" s="81"/>
      <c r="AP134" s="81"/>
    </row>
    <row r="135" spans="1:42">
      <c r="A135" s="77"/>
      <c r="B135" s="78"/>
      <c r="C135" s="78"/>
      <c r="D135" s="79"/>
      <c r="E135" s="79"/>
      <c r="F135" s="79"/>
      <c r="G135" s="80"/>
      <c r="H135" s="80"/>
      <c r="I135" s="80"/>
      <c r="J135" s="80"/>
      <c r="K135" s="80"/>
      <c r="L135" s="80"/>
      <c r="M135" s="81"/>
      <c r="N135" s="81"/>
      <c r="O135" s="81"/>
      <c r="P135" s="81"/>
      <c r="Q135" s="81"/>
      <c r="R135" s="81"/>
      <c r="S135" s="81"/>
      <c r="T135" s="81"/>
      <c r="U135" s="81"/>
      <c r="V135" s="81"/>
      <c r="W135" s="81"/>
      <c r="X135" s="81"/>
      <c r="Y135" s="81"/>
      <c r="Z135" s="81"/>
      <c r="AA135" s="81"/>
      <c r="AB135" s="81"/>
      <c r="AC135" s="81"/>
      <c r="AD135" s="81"/>
      <c r="AE135" s="81"/>
      <c r="AF135" s="81"/>
      <c r="AG135" s="81"/>
      <c r="AH135" s="81"/>
      <c r="AI135" s="81"/>
      <c r="AJ135" s="81"/>
      <c r="AK135" s="81"/>
      <c r="AL135" s="81"/>
      <c r="AM135" s="81"/>
      <c r="AN135" s="81"/>
      <c r="AO135" s="81"/>
      <c r="AP135" s="81"/>
    </row>
    <row r="136" spans="1:42">
      <c r="A136" s="77"/>
      <c r="B136" s="78"/>
      <c r="C136" s="78"/>
      <c r="D136" s="79"/>
      <c r="E136" s="79"/>
      <c r="F136" s="79"/>
      <c r="G136" s="80"/>
      <c r="H136" s="80"/>
      <c r="I136" s="80"/>
      <c r="J136" s="80"/>
      <c r="K136" s="80"/>
      <c r="L136" s="80"/>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81"/>
      <c r="AJ136" s="81"/>
      <c r="AK136" s="81"/>
      <c r="AL136" s="81"/>
      <c r="AM136" s="81"/>
      <c r="AN136" s="81"/>
      <c r="AO136" s="81"/>
      <c r="AP136" s="81"/>
    </row>
    <row r="137" spans="1:42">
      <c r="A137" s="77"/>
      <c r="B137" s="78"/>
      <c r="C137" s="78"/>
      <c r="D137" s="79"/>
      <c r="E137" s="79"/>
      <c r="F137" s="79"/>
      <c r="G137" s="80"/>
      <c r="H137" s="80"/>
      <c r="I137" s="80"/>
      <c r="J137" s="80"/>
      <c r="K137" s="80"/>
      <c r="L137" s="80"/>
      <c r="M137" s="81"/>
      <c r="N137" s="81"/>
      <c r="O137" s="81"/>
      <c r="P137" s="81"/>
      <c r="Q137" s="81"/>
      <c r="R137" s="81"/>
      <c r="S137" s="81"/>
      <c r="T137" s="81"/>
      <c r="U137" s="81"/>
      <c r="V137" s="81"/>
      <c r="W137" s="81"/>
      <c r="X137" s="81"/>
      <c r="Y137" s="81"/>
      <c r="Z137" s="81"/>
      <c r="AA137" s="81"/>
      <c r="AB137" s="81"/>
      <c r="AC137" s="81"/>
      <c r="AD137" s="81"/>
      <c r="AE137" s="81"/>
      <c r="AF137" s="81"/>
      <c r="AG137" s="81"/>
      <c r="AH137" s="81"/>
      <c r="AI137" s="81"/>
      <c r="AJ137" s="81"/>
      <c r="AK137" s="81"/>
      <c r="AL137" s="81"/>
      <c r="AM137" s="81"/>
      <c r="AN137" s="81"/>
      <c r="AO137" s="81"/>
      <c r="AP137" s="81"/>
    </row>
    <row r="138" spans="1:42">
      <c r="A138" s="77"/>
      <c r="B138" s="78"/>
      <c r="C138" s="78"/>
      <c r="D138" s="79"/>
      <c r="E138" s="79"/>
      <c r="F138" s="79"/>
      <c r="G138" s="80"/>
      <c r="H138" s="80"/>
      <c r="I138" s="80"/>
      <c r="J138" s="80"/>
      <c r="K138" s="80"/>
      <c r="L138" s="80"/>
      <c r="M138" s="81"/>
      <c r="N138" s="81"/>
      <c r="O138" s="81"/>
      <c r="P138" s="81"/>
      <c r="Q138" s="81"/>
      <c r="R138" s="81"/>
      <c r="S138" s="81"/>
      <c r="T138" s="81"/>
      <c r="U138" s="81"/>
      <c r="V138" s="81"/>
      <c r="W138" s="81"/>
      <c r="X138" s="81"/>
      <c r="Y138" s="81"/>
      <c r="Z138" s="81"/>
      <c r="AA138" s="81"/>
      <c r="AB138" s="81"/>
      <c r="AC138" s="81"/>
      <c r="AD138" s="81"/>
      <c r="AE138" s="81"/>
      <c r="AF138" s="81"/>
      <c r="AG138" s="81"/>
      <c r="AH138" s="81"/>
      <c r="AI138" s="81"/>
      <c r="AJ138" s="81"/>
      <c r="AK138" s="81"/>
      <c r="AL138" s="81"/>
      <c r="AM138" s="81"/>
      <c r="AN138" s="81"/>
      <c r="AO138" s="81"/>
      <c r="AP138" s="81"/>
    </row>
    <row r="139" spans="1:42">
      <c r="A139" s="77"/>
      <c r="B139" s="78"/>
      <c r="C139" s="78"/>
      <c r="D139" s="79"/>
      <c r="E139" s="79"/>
      <c r="F139" s="79"/>
      <c r="G139" s="80"/>
      <c r="H139" s="80"/>
      <c r="I139" s="80"/>
      <c r="J139" s="80"/>
      <c r="K139" s="80"/>
      <c r="L139" s="80"/>
      <c r="M139" s="81"/>
      <c r="N139" s="81"/>
      <c r="O139" s="81"/>
      <c r="P139" s="81"/>
      <c r="Q139" s="81"/>
      <c r="R139" s="81"/>
      <c r="S139" s="81"/>
      <c r="T139" s="81"/>
      <c r="U139" s="81"/>
      <c r="V139" s="81"/>
      <c r="W139" s="81"/>
      <c r="X139" s="81"/>
      <c r="Y139" s="81"/>
      <c r="Z139" s="81"/>
      <c r="AA139" s="81"/>
      <c r="AB139" s="81"/>
      <c r="AC139" s="81"/>
      <c r="AD139" s="81"/>
      <c r="AE139" s="81"/>
      <c r="AF139" s="81"/>
      <c r="AG139" s="81"/>
      <c r="AH139" s="81"/>
      <c r="AI139" s="81"/>
      <c r="AJ139" s="81"/>
      <c r="AK139" s="81"/>
      <c r="AL139" s="81"/>
      <c r="AM139" s="81"/>
      <c r="AN139" s="81"/>
      <c r="AO139" s="81"/>
      <c r="AP139" s="81"/>
    </row>
    <row r="140" spans="1:42">
      <c r="A140" s="40"/>
      <c r="B140" s="35"/>
      <c r="C140" s="35"/>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c r="AK140" s="47"/>
      <c r="AL140" s="47"/>
      <c r="AM140" s="47"/>
      <c r="AN140" s="47"/>
      <c r="AO140" s="47"/>
      <c r="AP140" s="47"/>
    </row>
    <row r="141" spans="1:42">
      <c r="A141" s="40"/>
      <c r="B141" s="35"/>
      <c r="C141" s="35"/>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c r="AK141" s="47"/>
      <c r="AL141" s="47"/>
      <c r="AM141" s="47"/>
      <c r="AN141" s="47"/>
      <c r="AO141" s="47"/>
      <c r="AP141" s="47"/>
    </row>
    <row r="142" spans="1:42">
      <c r="A142" s="40"/>
      <c r="B142" s="35"/>
      <c r="C142" s="35"/>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c r="AK142" s="47"/>
      <c r="AL142" s="47"/>
      <c r="AM142" s="47"/>
      <c r="AN142" s="47"/>
      <c r="AO142" s="47"/>
      <c r="AP142" s="47"/>
    </row>
    <row r="143" spans="1:42">
      <c r="B143" s="16" t="s">
        <v>5</v>
      </c>
    </row>
    <row r="144" spans="1:42">
      <c r="B144" s="504" t="s">
        <v>249</v>
      </c>
      <c r="C144" s="504"/>
      <c r="D144" s="504"/>
      <c r="E144" s="504"/>
      <c r="F144" s="504"/>
      <c r="G144" s="504"/>
      <c r="H144" s="504"/>
      <c r="I144" s="504"/>
      <c r="J144" s="504"/>
      <c r="K144" s="504"/>
      <c r="L144" s="504"/>
      <c r="X144" s="42"/>
    </row>
    <row r="145" spans="2:21">
      <c r="B145" s="500" t="s">
        <v>250</v>
      </c>
      <c r="C145" s="500"/>
      <c r="D145" s="500"/>
      <c r="E145" s="500"/>
      <c r="F145" s="500"/>
      <c r="G145" s="500"/>
      <c r="H145" s="500"/>
      <c r="I145" s="500"/>
      <c r="J145" s="500"/>
      <c r="K145" s="500"/>
      <c r="L145" s="500"/>
    </row>
    <row r="146" spans="2:21" ht="165.75">
      <c r="B146" s="16" t="s">
        <v>251</v>
      </c>
      <c r="C146" s="18"/>
      <c r="D146" s="73"/>
      <c r="E146" s="73"/>
      <c r="F146" s="73"/>
      <c r="G146" s="73"/>
      <c r="H146" s="73"/>
      <c r="I146" s="73"/>
      <c r="J146" s="73"/>
      <c r="K146" s="73"/>
      <c r="L146" s="73"/>
    </row>
    <row r="147" spans="2:21">
      <c r="B147" s="501" t="s">
        <v>252</v>
      </c>
      <c r="C147" s="501"/>
      <c r="D147" s="501"/>
      <c r="E147" s="501"/>
      <c r="F147" s="501"/>
      <c r="G147" s="501"/>
      <c r="H147" s="501"/>
      <c r="I147" s="501"/>
      <c r="J147" s="501"/>
      <c r="K147" s="501"/>
      <c r="L147" s="501"/>
      <c r="M147" s="43"/>
      <c r="N147" s="43"/>
      <c r="O147" s="43"/>
      <c r="P147" s="43"/>
      <c r="Q147" s="43"/>
      <c r="R147" s="43"/>
      <c r="S147" s="43"/>
      <c r="T147" s="43"/>
      <c r="U147" s="43"/>
    </row>
    <row r="148" spans="2:21">
      <c r="B148" s="500" t="s">
        <v>253</v>
      </c>
      <c r="C148" s="500"/>
      <c r="D148" s="500"/>
      <c r="E148" s="500"/>
      <c r="F148" s="500"/>
      <c r="G148" s="500"/>
      <c r="H148" s="500"/>
      <c r="I148" s="500"/>
      <c r="J148" s="500"/>
      <c r="K148" s="500"/>
      <c r="L148" s="500"/>
    </row>
    <row r="149" spans="2:21" ht="178.5">
      <c r="B149" s="18" t="s">
        <v>254</v>
      </c>
      <c r="C149" s="18"/>
      <c r="D149" s="73"/>
      <c r="E149" s="73"/>
      <c r="F149" s="73"/>
      <c r="G149" s="73"/>
      <c r="H149" s="73"/>
      <c r="I149" s="73"/>
      <c r="J149" s="73"/>
      <c r="K149" s="73"/>
      <c r="L149" s="73"/>
    </row>
    <row r="150" spans="2:21" ht="114.75">
      <c r="B150" s="16" t="s">
        <v>255</v>
      </c>
      <c r="L150" s="33"/>
    </row>
  </sheetData>
  <mergeCells count="32">
    <mergeCell ref="M1:AP1"/>
    <mergeCell ref="O119:AJ119"/>
    <mergeCell ref="G2:G3"/>
    <mergeCell ref="M2:R2"/>
    <mergeCell ref="S2:X2"/>
    <mergeCell ref="M117:M118"/>
    <mergeCell ref="R117:R118"/>
    <mergeCell ref="S117:S118"/>
    <mergeCell ref="X117:X118"/>
    <mergeCell ref="B148:L148"/>
    <mergeCell ref="J1:J3"/>
    <mergeCell ref="K1:K3"/>
    <mergeCell ref="L1:L3"/>
    <mergeCell ref="B144:L144"/>
    <mergeCell ref="D1:D3"/>
    <mergeCell ref="E1:E3"/>
    <mergeCell ref="F1:G1"/>
    <mergeCell ref="A117:A119"/>
    <mergeCell ref="I1:I3"/>
    <mergeCell ref="B145:L145"/>
    <mergeCell ref="B147:L147"/>
    <mergeCell ref="F2:F3"/>
    <mergeCell ref="A1:A3"/>
    <mergeCell ref="H1:H3"/>
    <mergeCell ref="AQ2:AV2"/>
    <mergeCell ref="Y117:Y118"/>
    <mergeCell ref="AD117:AD118"/>
    <mergeCell ref="AE117:AE118"/>
    <mergeCell ref="AJ117:AJ118"/>
    <mergeCell ref="Y2:AD2"/>
    <mergeCell ref="AE2:AJ2"/>
    <mergeCell ref="AK2:AP2"/>
  </mergeCells>
  <pageMargins left="0.7" right="0.7" top="0.75" bottom="0.75" header="0.3" footer="0.3"/>
  <pageSetup paperSize="9"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dimension ref="A1:BA114"/>
  <sheetViews>
    <sheetView tabSelected="1" view="pageBreakPreview" topLeftCell="A16" zoomScale="80" zoomScaleNormal="85" zoomScaleSheetLayoutView="80" workbookViewId="0">
      <selection activeCell="I21" sqref="I21"/>
    </sheetView>
  </sheetViews>
  <sheetFormatPr defaultRowHeight="12.75"/>
  <cols>
    <col min="1" max="1" width="45.7109375" style="439" customWidth="1"/>
    <col min="2" max="2" width="10.7109375" style="443" customWidth="1"/>
    <col min="3" max="3" width="45.7109375" style="439" customWidth="1"/>
    <col min="4" max="5" width="15.7109375" style="439" customWidth="1"/>
    <col min="6" max="6" width="10.7109375" style="439" customWidth="1"/>
    <col min="7" max="7" width="15.7109375" style="439" customWidth="1"/>
    <col min="8" max="8" width="23.7109375" style="439" customWidth="1"/>
    <col min="9" max="9" width="15.7109375" style="439" customWidth="1"/>
    <col min="10" max="51" width="20.7109375" style="439" customWidth="1"/>
    <col min="52" max="16384" width="9.140625" style="439"/>
  </cols>
  <sheetData>
    <row r="1" spans="1:53" ht="12.75" customHeight="1">
      <c r="A1" s="514" t="s">
        <v>622</v>
      </c>
      <c r="B1" s="514" t="s">
        <v>596</v>
      </c>
      <c r="C1" s="514" t="s">
        <v>621</v>
      </c>
      <c r="D1" s="515" t="s">
        <v>1</v>
      </c>
      <c r="E1" s="515"/>
      <c r="F1" s="514" t="s">
        <v>4</v>
      </c>
      <c r="G1" s="514" t="s">
        <v>126</v>
      </c>
      <c r="H1" s="514" t="s">
        <v>128</v>
      </c>
      <c r="I1" s="517" t="s">
        <v>200</v>
      </c>
      <c r="J1" s="508" t="s">
        <v>612</v>
      </c>
      <c r="K1" s="508"/>
      <c r="L1" s="508"/>
      <c r="M1" s="508"/>
      <c r="N1" s="508"/>
      <c r="O1" s="508"/>
      <c r="P1" s="508" t="s">
        <v>612</v>
      </c>
      <c r="Q1" s="508"/>
      <c r="R1" s="508"/>
      <c r="S1" s="508"/>
      <c r="T1" s="508"/>
      <c r="U1" s="508"/>
      <c r="V1" s="508" t="s">
        <v>612</v>
      </c>
      <c r="W1" s="508"/>
      <c r="X1" s="508"/>
      <c r="Y1" s="508"/>
      <c r="Z1" s="508"/>
      <c r="AA1" s="508"/>
      <c r="AB1" s="508" t="s">
        <v>612</v>
      </c>
      <c r="AC1" s="508"/>
      <c r="AD1" s="508"/>
      <c r="AE1" s="508"/>
      <c r="AF1" s="508"/>
      <c r="AG1" s="508"/>
      <c r="AH1" s="508" t="s">
        <v>612</v>
      </c>
      <c r="AI1" s="508"/>
      <c r="AJ1" s="508"/>
      <c r="AK1" s="508"/>
      <c r="AL1" s="508"/>
      <c r="AM1" s="508"/>
      <c r="AN1" s="508" t="s">
        <v>612</v>
      </c>
      <c r="AO1" s="508"/>
      <c r="AP1" s="508"/>
      <c r="AQ1" s="508"/>
      <c r="AR1" s="508"/>
      <c r="AS1" s="508"/>
      <c r="AT1" s="508" t="s">
        <v>612</v>
      </c>
      <c r="AU1" s="508"/>
      <c r="AV1" s="508"/>
      <c r="AW1" s="508"/>
      <c r="AX1" s="508"/>
      <c r="AY1" s="508"/>
    </row>
    <row r="2" spans="1:53" ht="25.5" customHeight="1">
      <c r="A2" s="514"/>
      <c r="B2" s="514"/>
      <c r="C2" s="514"/>
      <c r="D2" s="516" t="s">
        <v>620</v>
      </c>
      <c r="E2" s="516" t="s">
        <v>2</v>
      </c>
      <c r="F2" s="514"/>
      <c r="G2" s="514"/>
      <c r="H2" s="514"/>
      <c r="I2" s="517"/>
      <c r="J2" s="511" t="s">
        <v>130</v>
      </c>
      <c r="K2" s="512"/>
      <c r="L2" s="512"/>
      <c r="M2" s="512"/>
      <c r="N2" s="512"/>
      <c r="O2" s="512"/>
      <c r="P2" s="511" t="s">
        <v>131</v>
      </c>
      <c r="Q2" s="512"/>
      <c r="R2" s="512"/>
      <c r="S2" s="512"/>
      <c r="T2" s="512"/>
      <c r="U2" s="512"/>
      <c r="V2" s="511" t="s">
        <v>132</v>
      </c>
      <c r="W2" s="512"/>
      <c r="X2" s="512"/>
      <c r="Y2" s="512"/>
      <c r="Z2" s="512"/>
      <c r="AA2" s="512"/>
      <c r="AB2" s="511" t="s">
        <v>133</v>
      </c>
      <c r="AC2" s="512"/>
      <c r="AD2" s="512"/>
      <c r="AE2" s="512"/>
      <c r="AF2" s="512"/>
      <c r="AG2" s="512"/>
      <c r="AH2" s="512" t="s">
        <v>618</v>
      </c>
      <c r="AI2" s="512"/>
      <c r="AJ2" s="512"/>
      <c r="AK2" s="512"/>
      <c r="AL2" s="512"/>
      <c r="AM2" s="512"/>
      <c r="AN2" s="512" t="s">
        <v>613</v>
      </c>
      <c r="AO2" s="512"/>
      <c r="AP2" s="512"/>
      <c r="AQ2" s="512"/>
      <c r="AR2" s="512"/>
      <c r="AS2" s="512"/>
      <c r="AT2" s="509" t="s">
        <v>614</v>
      </c>
      <c r="AU2" s="510"/>
      <c r="AV2" s="510"/>
      <c r="AW2" s="510"/>
      <c r="AX2" s="510"/>
      <c r="AY2" s="510"/>
    </row>
    <row r="3" spans="1:53" ht="35.25" customHeight="1">
      <c r="A3" s="514"/>
      <c r="B3" s="514"/>
      <c r="C3" s="514"/>
      <c r="D3" s="516"/>
      <c r="E3" s="516"/>
      <c r="F3" s="514"/>
      <c r="G3" s="514"/>
      <c r="H3" s="514"/>
      <c r="I3" s="517"/>
      <c r="J3" s="491" t="s">
        <v>123</v>
      </c>
      <c r="K3" s="491" t="s">
        <v>135</v>
      </c>
      <c r="L3" s="491" t="s">
        <v>136</v>
      </c>
      <c r="M3" s="491" t="s">
        <v>137</v>
      </c>
      <c r="N3" s="491" t="s">
        <v>138</v>
      </c>
      <c r="O3" s="491" t="s">
        <v>139</v>
      </c>
      <c r="P3" s="491" t="s">
        <v>123</v>
      </c>
      <c r="Q3" s="491" t="s">
        <v>135</v>
      </c>
      <c r="R3" s="491" t="s">
        <v>136</v>
      </c>
      <c r="S3" s="491" t="s">
        <v>137</v>
      </c>
      <c r="T3" s="491" t="s">
        <v>138</v>
      </c>
      <c r="U3" s="491" t="s">
        <v>139</v>
      </c>
      <c r="V3" s="491" t="s">
        <v>123</v>
      </c>
      <c r="W3" s="491" t="s">
        <v>135</v>
      </c>
      <c r="X3" s="491" t="s">
        <v>136</v>
      </c>
      <c r="Y3" s="491" t="s">
        <v>137</v>
      </c>
      <c r="Z3" s="491" t="s">
        <v>138</v>
      </c>
      <c r="AA3" s="491" t="s">
        <v>139</v>
      </c>
      <c r="AB3" s="491" t="s">
        <v>123</v>
      </c>
      <c r="AC3" s="491" t="s">
        <v>135</v>
      </c>
      <c r="AD3" s="491" t="s">
        <v>136</v>
      </c>
      <c r="AE3" s="491" t="s">
        <v>137</v>
      </c>
      <c r="AF3" s="491" t="s">
        <v>138</v>
      </c>
      <c r="AG3" s="491" t="s">
        <v>139</v>
      </c>
      <c r="AH3" s="491" t="s">
        <v>123</v>
      </c>
      <c r="AI3" s="491" t="s">
        <v>135</v>
      </c>
      <c r="AJ3" s="491" t="s">
        <v>136</v>
      </c>
      <c r="AK3" s="491" t="s">
        <v>137</v>
      </c>
      <c r="AL3" s="491" t="s">
        <v>138</v>
      </c>
      <c r="AM3" s="491" t="s">
        <v>140</v>
      </c>
      <c r="AN3" s="491" t="s">
        <v>123</v>
      </c>
      <c r="AO3" s="491" t="s">
        <v>135</v>
      </c>
      <c r="AP3" s="491" t="s">
        <v>136</v>
      </c>
      <c r="AQ3" s="491" t="s">
        <v>137</v>
      </c>
      <c r="AR3" s="491" t="s">
        <v>138</v>
      </c>
      <c r="AS3" s="491" t="s">
        <v>140</v>
      </c>
      <c r="AT3" s="449" t="s">
        <v>123</v>
      </c>
      <c r="AU3" s="449" t="s">
        <v>135</v>
      </c>
      <c r="AV3" s="449" t="s">
        <v>136</v>
      </c>
      <c r="AW3" s="449" t="s">
        <v>137</v>
      </c>
      <c r="AX3" s="449" t="s">
        <v>138</v>
      </c>
      <c r="AY3" s="449" t="s">
        <v>140</v>
      </c>
      <c r="AZ3" s="442"/>
      <c r="BA3" s="442"/>
    </row>
    <row r="4" spans="1:53">
      <c r="A4" s="450" t="s">
        <v>6</v>
      </c>
      <c r="B4" s="450" t="s">
        <v>7</v>
      </c>
      <c r="C4" s="450" t="s">
        <v>15</v>
      </c>
      <c r="D4" s="450" t="s">
        <v>8</v>
      </c>
      <c r="E4" s="487" t="s">
        <v>9</v>
      </c>
      <c r="F4" s="490" t="s">
        <v>10</v>
      </c>
      <c r="G4" s="490" t="s">
        <v>11</v>
      </c>
      <c r="H4" s="487" t="s">
        <v>12</v>
      </c>
      <c r="I4" s="487" t="s">
        <v>13</v>
      </c>
      <c r="J4" s="487" t="s">
        <v>14</v>
      </c>
      <c r="K4" s="487" t="s">
        <v>208</v>
      </c>
      <c r="L4" s="491" t="s">
        <v>209</v>
      </c>
      <c r="M4" s="491" t="s">
        <v>210</v>
      </c>
      <c r="N4" s="491" t="s">
        <v>211</v>
      </c>
      <c r="O4" s="491" t="s">
        <v>212</v>
      </c>
      <c r="P4" s="491" t="s">
        <v>213</v>
      </c>
      <c r="Q4" s="491" t="s">
        <v>214</v>
      </c>
      <c r="R4" s="491" t="s">
        <v>215</v>
      </c>
      <c r="S4" s="451" t="s">
        <v>216</v>
      </c>
      <c r="T4" s="491" t="s">
        <v>217</v>
      </c>
      <c r="U4" s="491" t="s">
        <v>218</v>
      </c>
      <c r="V4" s="491" t="s">
        <v>219</v>
      </c>
      <c r="W4" s="491" t="s">
        <v>220</v>
      </c>
      <c r="X4" s="491" t="s">
        <v>221</v>
      </c>
      <c r="Y4" s="491" t="s">
        <v>222</v>
      </c>
      <c r="Z4" s="491" t="s">
        <v>223</v>
      </c>
      <c r="AA4" s="491" t="s">
        <v>224</v>
      </c>
      <c r="AB4" s="491" t="s">
        <v>225</v>
      </c>
      <c r="AC4" s="491" t="s">
        <v>226</v>
      </c>
      <c r="AD4" s="491" t="s">
        <v>227</v>
      </c>
      <c r="AE4" s="491" t="s">
        <v>228</v>
      </c>
      <c r="AF4" s="491" t="s">
        <v>229</v>
      </c>
      <c r="AG4" s="491" t="s">
        <v>230</v>
      </c>
      <c r="AH4" s="491" t="s">
        <v>231</v>
      </c>
      <c r="AI4" s="491" t="s">
        <v>232</v>
      </c>
      <c r="AJ4" s="491" t="s">
        <v>233</v>
      </c>
      <c r="AK4" s="491" t="s">
        <v>234</v>
      </c>
      <c r="AL4" s="491" t="s">
        <v>235</v>
      </c>
      <c r="AM4" s="491" t="s">
        <v>236</v>
      </c>
      <c r="AN4" s="491" t="s">
        <v>237</v>
      </c>
      <c r="AO4" s="491" t="s">
        <v>598</v>
      </c>
      <c r="AP4" s="491" t="s">
        <v>599</v>
      </c>
      <c r="AQ4" s="491" t="s">
        <v>600</v>
      </c>
      <c r="AR4" s="491" t="s">
        <v>601</v>
      </c>
      <c r="AS4" s="491" t="s">
        <v>602</v>
      </c>
      <c r="AT4" s="491" t="s">
        <v>603</v>
      </c>
      <c r="AU4" s="491" t="s">
        <v>604</v>
      </c>
      <c r="AV4" s="448" t="s">
        <v>605</v>
      </c>
      <c r="AW4" s="448" t="s">
        <v>606</v>
      </c>
      <c r="AX4" s="448" t="s">
        <v>607</v>
      </c>
      <c r="AY4" s="448" t="s">
        <v>619</v>
      </c>
      <c r="AZ4" s="442"/>
      <c r="BA4" s="442"/>
    </row>
    <row r="5" spans="1:53" s="436" customFormat="1" ht="25.5">
      <c r="A5" s="452" t="s">
        <v>611</v>
      </c>
      <c r="B5" s="441"/>
      <c r="C5" s="441"/>
      <c r="D5" s="441"/>
      <c r="E5" s="441"/>
      <c r="F5" s="453"/>
      <c r="G5" s="441"/>
      <c r="H5" s="437"/>
      <c r="I5" s="437"/>
      <c r="J5" s="469"/>
      <c r="K5" s="469"/>
      <c r="L5" s="469"/>
      <c r="M5" s="469"/>
      <c r="N5" s="469"/>
      <c r="O5" s="469"/>
      <c r="P5" s="469"/>
      <c r="Q5" s="469"/>
      <c r="R5" s="469"/>
      <c r="S5" s="469"/>
      <c r="T5" s="469"/>
      <c r="U5" s="469"/>
      <c r="V5" s="469"/>
      <c r="W5" s="469"/>
      <c r="X5" s="469"/>
      <c r="Y5" s="469"/>
      <c r="Z5" s="469"/>
      <c r="AA5" s="469"/>
      <c r="AB5" s="469"/>
      <c r="AC5" s="469"/>
      <c r="AD5" s="469"/>
      <c r="AE5" s="469"/>
      <c r="AF5" s="469"/>
      <c r="AG5" s="469"/>
      <c r="AH5" s="469"/>
      <c r="AI5" s="469"/>
      <c r="AJ5" s="469"/>
      <c r="AK5" s="469"/>
      <c r="AL5" s="469"/>
      <c r="AM5" s="469"/>
      <c r="AN5" s="470"/>
      <c r="AO5" s="470"/>
      <c r="AP5" s="470"/>
      <c r="AQ5" s="470"/>
      <c r="AR5" s="470"/>
      <c r="AS5" s="471"/>
      <c r="AT5" s="469"/>
      <c r="AU5" s="469"/>
      <c r="AV5" s="469"/>
      <c r="AW5" s="469"/>
      <c r="AX5" s="469"/>
      <c r="AY5" s="469"/>
      <c r="AZ5" s="442"/>
      <c r="BA5" s="442"/>
    </row>
    <row r="6" spans="1:53" s="436" customFormat="1" ht="25.5">
      <c r="A6" s="454" t="s">
        <v>584</v>
      </c>
      <c r="B6" s="441"/>
      <c r="C6" s="441"/>
      <c r="D6" s="441"/>
      <c r="E6" s="441"/>
      <c r="F6" s="441"/>
      <c r="G6" s="441"/>
      <c r="H6" s="437"/>
      <c r="I6" s="437"/>
      <c r="J6" s="469"/>
      <c r="K6" s="469"/>
      <c r="L6" s="469"/>
      <c r="M6" s="469"/>
      <c r="N6" s="469"/>
      <c r="O6" s="469"/>
      <c r="P6" s="469"/>
      <c r="Q6" s="469"/>
      <c r="R6" s="469"/>
      <c r="S6" s="469"/>
      <c r="T6" s="469"/>
      <c r="U6" s="469"/>
      <c r="V6" s="469"/>
      <c r="W6" s="469"/>
      <c r="X6" s="469"/>
      <c r="Y6" s="469"/>
      <c r="Z6" s="469"/>
      <c r="AA6" s="469"/>
      <c r="AB6" s="469"/>
      <c r="AC6" s="469"/>
      <c r="AD6" s="469"/>
      <c r="AE6" s="469"/>
      <c r="AF6" s="469"/>
      <c r="AG6" s="469"/>
      <c r="AH6" s="469"/>
      <c r="AI6" s="469"/>
      <c r="AJ6" s="469"/>
      <c r="AK6" s="469"/>
      <c r="AL6" s="469"/>
      <c r="AM6" s="469"/>
      <c r="AN6" s="469"/>
      <c r="AO6" s="469"/>
      <c r="AP6" s="469"/>
      <c r="AQ6" s="469"/>
      <c r="AR6" s="469"/>
      <c r="AS6" s="469"/>
      <c r="AT6" s="469"/>
      <c r="AU6" s="469"/>
      <c r="AV6" s="469"/>
      <c r="AW6" s="469"/>
      <c r="AX6" s="469"/>
      <c r="AY6" s="469"/>
      <c r="AZ6" s="442"/>
      <c r="BA6" s="442"/>
    </row>
    <row r="7" spans="1:53" ht="25.5">
      <c r="A7" s="455" t="s">
        <v>585</v>
      </c>
      <c r="B7" s="441"/>
      <c r="C7" s="441"/>
      <c r="D7" s="484"/>
      <c r="E7" s="484"/>
      <c r="F7" s="441"/>
      <c r="G7" s="441"/>
      <c r="H7" s="441"/>
      <c r="I7" s="441"/>
      <c r="J7" s="472"/>
      <c r="K7" s="472"/>
      <c r="L7" s="472"/>
      <c r="M7" s="472"/>
      <c r="N7" s="472"/>
      <c r="O7" s="472"/>
      <c r="P7" s="472"/>
      <c r="Q7" s="472"/>
      <c r="R7" s="472"/>
      <c r="S7" s="472"/>
      <c r="T7" s="472"/>
      <c r="U7" s="472"/>
      <c r="V7" s="472"/>
      <c r="W7" s="472"/>
      <c r="X7" s="472"/>
      <c r="Y7" s="472"/>
      <c r="Z7" s="472"/>
      <c r="AA7" s="472"/>
      <c r="AB7" s="472"/>
      <c r="AC7" s="472"/>
      <c r="AD7" s="472"/>
      <c r="AE7" s="472"/>
      <c r="AF7" s="472"/>
      <c r="AG7" s="472"/>
      <c r="AH7" s="472"/>
      <c r="AI7" s="472"/>
      <c r="AJ7" s="472"/>
      <c r="AK7" s="472"/>
      <c r="AL7" s="472"/>
      <c r="AM7" s="472"/>
      <c r="AN7" s="469"/>
      <c r="AO7" s="469"/>
      <c r="AP7" s="469"/>
      <c r="AQ7" s="469"/>
      <c r="AR7" s="469"/>
      <c r="AS7" s="469"/>
      <c r="AT7" s="469"/>
      <c r="AU7" s="469"/>
      <c r="AV7" s="469"/>
      <c r="AW7" s="469"/>
      <c r="AX7" s="469"/>
      <c r="AY7" s="469"/>
      <c r="AZ7" s="440"/>
      <c r="BA7" s="440"/>
    </row>
    <row r="8" spans="1:53" s="442" customFormat="1" ht="112.5" customHeight="1">
      <c r="A8" s="488" t="s">
        <v>417</v>
      </c>
      <c r="B8" s="488" t="s">
        <v>164</v>
      </c>
      <c r="C8" s="488" t="s">
        <v>181</v>
      </c>
      <c r="D8" s="460" t="s">
        <v>141</v>
      </c>
      <c r="E8" s="460" t="s">
        <v>626</v>
      </c>
      <c r="F8" s="459">
        <v>6</v>
      </c>
      <c r="G8" s="459">
        <v>4</v>
      </c>
      <c r="H8" s="459" t="s">
        <v>623</v>
      </c>
      <c r="I8" s="462" t="s">
        <v>634</v>
      </c>
      <c r="J8" s="464"/>
      <c r="K8" s="464"/>
      <c r="L8" s="473"/>
      <c r="M8" s="465">
        <f>6705479/5</f>
        <v>1341095.8</v>
      </c>
      <c r="N8" s="464"/>
      <c r="O8" s="465">
        <f>M8</f>
        <v>1341095.8</v>
      </c>
      <c r="P8" s="464"/>
      <c r="Q8" s="464"/>
      <c r="R8" s="464"/>
      <c r="S8" s="465">
        <f>6705479/5</f>
        <v>1341095.8</v>
      </c>
      <c r="T8" s="464"/>
      <c r="U8" s="465">
        <f>S8</f>
        <v>1341095.8</v>
      </c>
      <c r="V8" s="465"/>
      <c r="W8" s="465"/>
      <c r="X8" s="465"/>
      <c r="Y8" s="465">
        <f>6705479/5</f>
        <v>1341095.8</v>
      </c>
      <c r="Z8" s="465"/>
      <c r="AA8" s="465">
        <f>SUM(V8:Z8)</f>
        <v>1341095.8</v>
      </c>
      <c r="AB8" s="464"/>
      <c r="AC8" s="464"/>
      <c r="AD8" s="464"/>
      <c r="AE8" s="465">
        <f>6705479/5</f>
        <v>1341095.8</v>
      </c>
      <c r="AF8" s="465"/>
      <c r="AG8" s="465">
        <f>SUM(AB8:AF8)</f>
        <v>1341095.8</v>
      </c>
      <c r="AH8" s="464"/>
      <c r="AI8" s="464"/>
      <c r="AJ8" s="464"/>
      <c r="AK8" s="465">
        <f>SUM(M8,S8,Y8,AE8)</f>
        <v>5364383.2</v>
      </c>
      <c r="AL8" s="465"/>
      <c r="AM8" s="465">
        <f>SUM(AH8:AL8)</f>
        <v>5364383.2</v>
      </c>
      <c r="AN8" s="473"/>
      <c r="AO8" s="473"/>
      <c r="AP8" s="473"/>
      <c r="AQ8" s="473"/>
      <c r="AR8" s="473"/>
      <c r="AS8" s="473"/>
      <c r="AT8" s="473"/>
      <c r="AU8" s="473"/>
      <c r="AV8" s="473"/>
      <c r="AW8" s="465">
        <f>SUM(AH8:AL8)</f>
        <v>5364383.2</v>
      </c>
      <c r="AX8" s="473"/>
      <c r="AY8" s="467">
        <f>AW8</f>
        <v>5364383.2</v>
      </c>
      <c r="AZ8" s="439"/>
      <c r="BA8" s="439"/>
    </row>
    <row r="9" spans="1:53" s="442" customFormat="1" ht="107.25" customHeight="1">
      <c r="A9" s="488" t="s">
        <v>610</v>
      </c>
      <c r="B9" s="488" t="s">
        <v>164</v>
      </c>
      <c r="C9" s="488" t="s">
        <v>416</v>
      </c>
      <c r="D9" s="460" t="s">
        <v>529</v>
      </c>
      <c r="E9" s="460" t="s">
        <v>74</v>
      </c>
      <c r="F9" s="459">
        <v>6</v>
      </c>
      <c r="G9" s="459">
        <v>4</v>
      </c>
      <c r="H9" s="463" t="s">
        <v>616</v>
      </c>
      <c r="I9" s="462" t="s">
        <v>635</v>
      </c>
      <c r="J9" s="464"/>
      <c r="K9" s="464"/>
      <c r="L9" s="473"/>
      <c r="M9" s="464"/>
      <c r="N9" s="464"/>
      <c r="O9" s="464"/>
      <c r="P9" s="464"/>
      <c r="Q9" s="464"/>
      <c r="R9" s="464"/>
      <c r="S9" s="464"/>
      <c r="T9" s="464"/>
      <c r="U9" s="464"/>
      <c r="V9" s="465"/>
      <c r="W9" s="465"/>
      <c r="X9" s="465"/>
      <c r="Y9" s="465"/>
      <c r="Z9" s="465"/>
      <c r="AA9" s="465"/>
      <c r="AB9" s="464"/>
      <c r="AC9" s="464"/>
      <c r="AD9" s="464"/>
      <c r="AE9" s="464"/>
      <c r="AF9" s="464"/>
      <c r="AG9" s="464"/>
      <c r="AH9" s="464"/>
      <c r="AI9" s="464"/>
      <c r="AJ9" s="464"/>
      <c r="AK9" s="464"/>
      <c r="AL9" s="464"/>
      <c r="AM9" s="465"/>
      <c r="AN9" s="473"/>
      <c r="AO9" s="473"/>
      <c r="AP9" s="473"/>
      <c r="AQ9" s="473"/>
      <c r="AR9" s="473"/>
      <c r="AS9" s="473"/>
      <c r="AT9" s="467"/>
      <c r="AU9" s="467"/>
      <c r="AV9" s="467"/>
      <c r="AW9" s="467"/>
      <c r="AX9" s="473"/>
      <c r="AY9" s="473"/>
      <c r="AZ9" s="439"/>
      <c r="BA9" s="439"/>
    </row>
    <row r="10" spans="1:53" s="442" customFormat="1" ht="89.25">
      <c r="A10" s="488" t="s">
        <v>480</v>
      </c>
      <c r="B10" s="488" t="s">
        <v>164</v>
      </c>
      <c r="C10" s="488" t="s">
        <v>454</v>
      </c>
      <c r="D10" s="460" t="s">
        <v>529</v>
      </c>
      <c r="E10" s="460" t="s">
        <v>74</v>
      </c>
      <c r="F10" s="459">
        <f>F9</f>
        <v>6</v>
      </c>
      <c r="G10" s="459">
        <v>4</v>
      </c>
      <c r="H10" s="459" t="s">
        <v>552</v>
      </c>
      <c r="I10" s="462" t="s">
        <v>629</v>
      </c>
      <c r="J10" s="465">
        <v>774000</v>
      </c>
      <c r="K10" s="464"/>
      <c r="L10" s="473"/>
      <c r="M10" s="464"/>
      <c r="N10" s="464"/>
      <c r="O10" s="465">
        <f>J10</f>
        <v>774000</v>
      </c>
      <c r="P10" s="465">
        <v>586000</v>
      </c>
      <c r="Q10" s="465"/>
      <c r="R10" s="465"/>
      <c r="S10" s="465"/>
      <c r="T10" s="465"/>
      <c r="U10" s="465">
        <f>SUM(P10:T10)</f>
        <v>586000</v>
      </c>
      <c r="V10" s="465">
        <v>356000</v>
      </c>
      <c r="W10" s="465"/>
      <c r="X10" s="465"/>
      <c r="Y10" s="465"/>
      <c r="Z10" s="465"/>
      <c r="AA10" s="465">
        <f>SUM(V10:Z10)</f>
        <v>356000</v>
      </c>
      <c r="AB10" s="464"/>
      <c r="AC10" s="464"/>
      <c r="AD10" s="464"/>
      <c r="AE10" s="464"/>
      <c r="AF10" s="464"/>
      <c r="AG10" s="464"/>
      <c r="AH10" s="465">
        <f>SUM(J10,P10,V10)</f>
        <v>1716000</v>
      </c>
      <c r="AI10" s="465"/>
      <c r="AJ10" s="465"/>
      <c r="AK10" s="465"/>
      <c r="AL10" s="465"/>
      <c r="AM10" s="465">
        <f>SUM(AH10:AL10)</f>
        <v>1716000</v>
      </c>
      <c r="AN10" s="473"/>
      <c r="AO10" s="473"/>
      <c r="AP10" s="473"/>
      <c r="AQ10" s="473"/>
      <c r="AR10" s="473"/>
      <c r="AS10" s="473"/>
      <c r="AT10" s="467">
        <f>SUM(AH10:AL10)</f>
        <v>1716000</v>
      </c>
      <c r="AU10" s="467"/>
      <c r="AV10" s="467"/>
      <c r="AW10" s="467"/>
      <c r="AX10" s="473"/>
      <c r="AY10" s="467">
        <f>AT10</f>
        <v>1716000</v>
      </c>
      <c r="AZ10" s="439"/>
      <c r="BA10" s="439"/>
    </row>
    <row r="11" spans="1:53" s="442" customFormat="1" ht="38.25">
      <c r="A11" s="488" t="s">
        <v>453</v>
      </c>
      <c r="B11" s="460" t="s">
        <v>164</v>
      </c>
      <c r="C11" s="488"/>
      <c r="D11" s="460" t="s">
        <v>529</v>
      </c>
      <c r="E11" s="460" t="s">
        <v>456</v>
      </c>
      <c r="F11" s="459">
        <v>6</v>
      </c>
      <c r="G11" s="459">
        <v>4</v>
      </c>
      <c r="H11" s="459" t="s">
        <v>552</v>
      </c>
      <c r="I11" s="462" t="s">
        <v>313</v>
      </c>
      <c r="J11" s="465">
        <v>406500</v>
      </c>
      <c r="K11" s="464"/>
      <c r="L11" s="473"/>
      <c r="M11" s="464"/>
      <c r="N11" s="464"/>
      <c r="O11" s="465">
        <f>SUM(J11:N11)</f>
        <v>406500</v>
      </c>
      <c r="P11" s="465">
        <v>599530</v>
      </c>
      <c r="Q11" s="465"/>
      <c r="R11" s="465"/>
      <c r="S11" s="465"/>
      <c r="T11" s="465"/>
      <c r="U11" s="465">
        <f>SUM(P11:T11)</f>
        <v>599530</v>
      </c>
      <c r="V11" s="465">
        <v>411470</v>
      </c>
      <c r="W11" s="465"/>
      <c r="X11" s="465"/>
      <c r="Y11" s="465"/>
      <c r="Z11" s="465"/>
      <c r="AA11" s="465">
        <f>SUM(V11:Z11)</f>
        <v>411470</v>
      </c>
      <c r="AB11" s="464"/>
      <c r="AC11" s="464"/>
      <c r="AD11" s="464"/>
      <c r="AE11" s="464"/>
      <c r="AF11" s="464"/>
      <c r="AG11" s="464"/>
      <c r="AH11" s="465">
        <f>SUM(J11,P11,V11)</f>
        <v>1417500</v>
      </c>
      <c r="AI11" s="465"/>
      <c r="AJ11" s="465"/>
      <c r="AK11" s="465"/>
      <c r="AL11" s="465"/>
      <c r="AM11" s="465">
        <f>SUM(AH11:AL11)</f>
        <v>1417500</v>
      </c>
      <c r="AN11" s="473"/>
      <c r="AO11" s="473"/>
      <c r="AP11" s="473"/>
      <c r="AQ11" s="473"/>
      <c r="AR11" s="473"/>
      <c r="AS11" s="473"/>
      <c r="AT11" s="467">
        <f>SUM(J11,P11,V11)</f>
        <v>1417500</v>
      </c>
      <c r="AU11" s="473"/>
      <c r="AV11" s="473"/>
      <c r="AW11" s="473"/>
      <c r="AX11" s="473"/>
      <c r="AY11" s="467">
        <f>AT11</f>
        <v>1417500</v>
      </c>
      <c r="AZ11" s="439"/>
      <c r="BA11" s="439"/>
    </row>
    <row r="12" spans="1:53" s="440" customFormat="1">
      <c r="A12" s="488" t="s">
        <v>197</v>
      </c>
      <c r="B12" s="461"/>
      <c r="C12" s="461"/>
      <c r="D12" s="485"/>
      <c r="E12" s="485"/>
      <c r="F12" s="489"/>
      <c r="G12" s="489"/>
      <c r="H12" s="489"/>
      <c r="I12" s="489"/>
      <c r="J12" s="471"/>
      <c r="K12" s="471"/>
      <c r="L12" s="471"/>
      <c r="M12" s="471"/>
      <c r="N12" s="471"/>
      <c r="O12" s="471"/>
      <c r="P12" s="471"/>
      <c r="Q12" s="471"/>
      <c r="R12" s="471"/>
      <c r="S12" s="471"/>
      <c r="T12" s="471"/>
      <c r="U12" s="471"/>
      <c r="V12" s="471"/>
      <c r="W12" s="471"/>
      <c r="X12" s="471"/>
      <c r="Y12" s="471"/>
      <c r="Z12" s="471"/>
      <c r="AA12" s="471"/>
      <c r="AB12" s="471"/>
      <c r="AC12" s="471"/>
      <c r="AD12" s="471"/>
      <c r="AE12" s="471"/>
      <c r="AF12" s="471"/>
      <c r="AG12" s="471"/>
      <c r="AH12" s="471"/>
      <c r="AI12" s="471"/>
      <c r="AJ12" s="471"/>
      <c r="AK12" s="471"/>
      <c r="AL12" s="471"/>
      <c r="AM12" s="471"/>
      <c r="AN12" s="469"/>
      <c r="AO12" s="469"/>
      <c r="AP12" s="469"/>
      <c r="AQ12" s="469"/>
      <c r="AR12" s="469"/>
      <c r="AS12" s="469"/>
      <c r="AT12" s="469"/>
      <c r="AU12" s="469"/>
      <c r="AV12" s="469"/>
      <c r="AW12" s="469"/>
      <c r="AX12" s="469"/>
      <c r="AY12" s="469"/>
      <c r="AZ12" s="439"/>
      <c r="BA12" s="439"/>
    </row>
    <row r="13" spans="1:53" ht="25.5">
      <c r="A13" s="488" t="s">
        <v>586</v>
      </c>
      <c r="B13" s="460"/>
      <c r="C13" s="460"/>
      <c r="D13" s="460"/>
      <c r="E13" s="460"/>
      <c r="F13" s="459"/>
      <c r="G13" s="459"/>
      <c r="H13" s="459"/>
      <c r="I13" s="459"/>
      <c r="J13" s="469"/>
      <c r="K13" s="469"/>
      <c r="L13" s="469"/>
      <c r="M13" s="469"/>
      <c r="N13" s="469"/>
      <c r="O13" s="469"/>
      <c r="P13" s="469"/>
      <c r="Q13" s="469"/>
      <c r="R13" s="469"/>
      <c r="S13" s="469"/>
      <c r="T13" s="469"/>
      <c r="U13" s="469"/>
      <c r="V13" s="469"/>
      <c r="W13" s="469"/>
      <c r="X13" s="469"/>
      <c r="Y13" s="469"/>
      <c r="Z13" s="469"/>
      <c r="AA13" s="469"/>
      <c r="AB13" s="469"/>
      <c r="AC13" s="469"/>
      <c r="AD13" s="469"/>
      <c r="AE13" s="469"/>
      <c r="AF13" s="469"/>
      <c r="AG13" s="469"/>
      <c r="AH13" s="469"/>
      <c r="AI13" s="469"/>
      <c r="AJ13" s="469"/>
      <c r="AK13" s="469"/>
      <c r="AL13" s="469"/>
      <c r="AM13" s="469"/>
      <c r="AN13" s="469"/>
      <c r="AO13" s="469"/>
      <c r="AP13" s="469"/>
      <c r="AQ13" s="469"/>
      <c r="AR13" s="469"/>
      <c r="AS13" s="469"/>
      <c r="AT13" s="469"/>
      <c r="AU13" s="469"/>
      <c r="AV13" s="469"/>
      <c r="AW13" s="469"/>
      <c r="AX13" s="469"/>
      <c r="AY13" s="469"/>
    </row>
    <row r="14" spans="1:53">
      <c r="A14" s="488" t="s">
        <v>75</v>
      </c>
      <c r="B14" s="460"/>
      <c r="C14" s="460"/>
      <c r="D14" s="460"/>
      <c r="E14" s="460"/>
      <c r="F14" s="459"/>
      <c r="G14" s="459"/>
      <c r="H14" s="459"/>
      <c r="I14" s="459"/>
      <c r="J14" s="469"/>
      <c r="K14" s="469"/>
      <c r="L14" s="469"/>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469"/>
      <c r="AK14" s="469"/>
      <c r="AL14" s="469"/>
      <c r="AM14" s="469"/>
      <c r="AN14" s="469"/>
      <c r="AO14" s="469"/>
      <c r="AP14" s="469"/>
      <c r="AQ14" s="469"/>
      <c r="AR14" s="469"/>
      <c r="AS14" s="469"/>
      <c r="AT14" s="473"/>
      <c r="AU14" s="473"/>
      <c r="AV14" s="473"/>
      <c r="AW14" s="473"/>
      <c r="AX14" s="469"/>
      <c r="AY14" s="469"/>
      <c r="AZ14" s="440"/>
      <c r="BA14" s="440"/>
    </row>
    <row r="15" spans="1:53" ht="110.25" customHeight="1">
      <c r="A15" s="488" t="s">
        <v>462</v>
      </c>
      <c r="B15" s="488" t="s">
        <v>97</v>
      </c>
      <c r="C15" s="513" t="s">
        <v>469</v>
      </c>
      <c r="D15" s="488" t="s">
        <v>141</v>
      </c>
      <c r="E15" s="488" t="s">
        <v>627</v>
      </c>
      <c r="F15" s="457" t="s">
        <v>608</v>
      </c>
      <c r="G15" s="457" t="s">
        <v>142</v>
      </c>
      <c r="H15" s="518" t="s">
        <v>615</v>
      </c>
      <c r="I15" s="462" t="s">
        <v>630</v>
      </c>
      <c r="J15" s="469"/>
      <c r="K15" s="469"/>
      <c r="L15" s="469"/>
      <c r="M15" s="469"/>
      <c r="N15" s="469"/>
      <c r="O15" s="469"/>
      <c r="P15" s="469"/>
      <c r="Q15" s="469"/>
      <c r="R15" s="469"/>
      <c r="S15" s="469"/>
      <c r="T15" s="469"/>
      <c r="U15" s="469"/>
      <c r="V15" s="469"/>
      <c r="W15" s="469"/>
      <c r="X15" s="469"/>
      <c r="Y15" s="469"/>
      <c r="Z15" s="469"/>
      <c r="AA15" s="469"/>
      <c r="AB15" s="469"/>
      <c r="AC15" s="469"/>
      <c r="AD15" s="469"/>
      <c r="AE15" s="469"/>
      <c r="AF15" s="469"/>
      <c r="AG15" s="469"/>
      <c r="AH15" s="469"/>
      <c r="AI15" s="469"/>
      <c r="AJ15" s="469"/>
      <c r="AK15" s="469"/>
      <c r="AL15" s="469"/>
      <c r="AM15" s="469"/>
      <c r="AN15" s="469"/>
      <c r="AO15" s="469"/>
      <c r="AP15" s="469"/>
      <c r="AQ15" s="469"/>
      <c r="AR15" s="469"/>
      <c r="AS15" s="469"/>
      <c r="AT15" s="469"/>
      <c r="AU15" s="474"/>
      <c r="AV15" s="474"/>
      <c r="AW15" s="474"/>
      <c r="AX15" s="469"/>
      <c r="AY15" s="469"/>
    </row>
    <row r="16" spans="1:53" ht="107.25" customHeight="1">
      <c r="A16" s="488" t="s">
        <v>463</v>
      </c>
      <c r="B16" s="488" t="s">
        <v>97</v>
      </c>
      <c r="C16" s="513"/>
      <c r="D16" s="488" t="s">
        <v>141</v>
      </c>
      <c r="E16" s="488" t="s">
        <v>628</v>
      </c>
      <c r="F16" s="457" t="str">
        <f>F15</f>
        <v>6 &amp; 10</v>
      </c>
      <c r="G16" s="457" t="s">
        <v>142</v>
      </c>
      <c r="H16" s="518"/>
      <c r="I16" s="462" t="s">
        <v>631</v>
      </c>
      <c r="J16" s="472"/>
      <c r="K16" s="472"/>
      <c r="L16" s="472"/>
      <c r="M16" s="472"/>
      <c r="N16" s="472"/>
      <c r="O16" s="472"/>
      <c r="P16" s="472"/>
      <c r="Q16" s="472"/>
      <c r="R16" s="472"/>
      <c r="S16" s="472"/>
      <c r="T16" s="472"/>
      <c r="U16" s="472"/>
      <c r="V16" s="472"/>
      <c r="W16" s="472"/>
      <c r="X16" s="472"/>
      <c r="Y16" s="472"/>
      <c r="Z16" s="472"/>
      <c r="AA16" s="472"/>
      <c r="AB16" s="472"/>
      <c r="AC16" s="472"/>
      <c r="AD16" s="472"/>
      <c r="AE16" s="472"/>
      <c r="AF16" s="472"/>
      <c r="AG16" s="472"/>
      <c r="AH16" s="472"/>
      <c r="AI16" s="472"/>
      <c r="AJ16" s="472"/>
      <c r="AK16" s="472"/>
      <c r="AL16" s="472"/>
      <c r="AM16" s="472"/>
      <c r="AN16" s="469"/>
      <c r="AO16" s="469"/>
      <c r="AP16" s="469"/>
      <c r="AQ16" s="469"/>
      <c r="AR16" s="469"/>
      <c r="AS16" s="469"/>
      <c r="AT16" s="469"/>
      <c r="AU16" s="474"/>
      <c r="AV16" s="474"/>
      <c r="AW16" s="474"/>
      <c r="AX16" s="469"/>
      <c r="AY16" s="469"/>
    </row>
    <row r="17" spans="1:53" ht="169.5" customHeight="1">
      <c r="A17" s="488" t="s">
        <v>625</v>
      </c>
      <c r="B17" s="488" t="s">
        <v>97</v>
      </c>
      <c r="C17" s="488" t="s">
        <v>112</v>
      </c>
      <c r="D17" s="460" t="s">
        <v>18</v>
      </c>
      <c r="E17" s="460"/>
      <c r="F17" s="459">
        <f>F8</f>
        <v>6</v>
      </c>
      <c r="G17" s="459" t="s">
        <v>142</v>
      </c>
      <c r="H17" s="459" t="s">
        <v>553</v>
      </c>
      <c r="I17" s="457"/>
      <c r="J17" s="466"/>
      <c r="K17" s="466"/>
      <c r="L17" s="466"/>
      <c r="M17" s="466"/>
      <c r="N17" s="466"/>
      <c r="O17" s="466"/>
      <c r="P17" s="467">
        <v>1900000</v>
      </c>
      <c r="Q17" s="467"/>
      <c r="R17" s="467"/>
      <c r="S17" s="467"/>
      <c r="T17" s="467"/>
      <c r="U17" s="467">
        <v>1900000</v>
      </c>
      <c r="V17" s="467">
        <v>1914509.2408</v>
      </c>
      <c r="W17" s="467"/>
      <c r="X17" s="467"/>
      <c r="Y17" s="467"/>
      <c r="Z17" s="467"/>
      <c r="AA17" s="467">
        <v>1914509.2408</v>
      </c>
      <c r="AB17" s="467">
        <v>1524749.1068160005</v>
      </c>
      <c r="AC17" s="467"/>
      <c r="AD17" s="467"/>
      <c r="AE17" s="467"/>
      <c r="AF17" s="467"/>
      <c r="AG17" s="467">
        <v>1524749.1068160005</v>
      </c>
      <c r="AH17" s="466">
        <f>SUM(P17,V17,AB17)</f>
        <v>5339258.3476160001</v>
      </c>
      <c r="AI17" s="466"/>
      <c r="AJ17" s="466"/>
      <c r="AK17" s="466"/>
      <c r="AL17" s="466"/>
      <c r="AM17" s="466">
        <f>AH17</f>
        <v>5339258.3476160001</v>
      </c>
      <c r="AN17" s="475"/>
      <c r="AO17" s="475"/>
      <c r="AP17" s="475"/>
      <c r="AQ17" s="475"/>
      <c r="AR17" s="475"/>
      <c r="AS17" s="475"/>
      <c r="AT17" s="474">
        <f>SUM(P17,V17,AB17)</f>
        <v>5339258.3476160001</v>
      </c>
      <c r="AU17" s="474"/>
      <c r="AV17" s="469"/>
      <c r="AW17" s="469"/>
      <c r="AX17" s="469"/>
      <c r="AY17" s="474">
        <f>AT17</f>
        <v>5339258.3476160001</v>
      </c>
      <c r="AZ17" s="444"/>
      <c r="BA17" s="444"/>
    </row>
    <row r="18" spans="1:53" ht="105" customHeight="1">
      <c r="A18" s="482" t="s">
        <v>624</v>
      </c>
      <c r="B18" s="458" t="s">
        <v>97</v>
      </c>
      <c r="C18" s="458" t="s">
        <v>115</v>
      </c>
      <c r="D18" s="460" t="s">
        <v>141</v>
      </c>
      <c r="E18" s="460" t="s">
        <v>418</v>
      </c>
      <c r="F18" s="459">
        <f>F8</f>
        <v>6</v>
      </c>
      <c r="G18" s="459" t="s">
        <v>142</v>
      </c>
      <c r="H18" s="459" t="s">
        <v>553</v>
      </c>
      <c r="I18" s="462" t="s">
        <v>632</v>
      </c>
      <c r="J18" s="466"/>
      <c r="K18" s="466"/>
      <c r="L18" s="466"/>
      <c r="M18" s="466"/>
      <c r="N18" s="466"/>
      <c r="O18" s="466"/>
      <c r="P18" s="467"/>
      <c r="Q18" s="467"/>
      <c r="R18" s="467"/>
      <c r="S18" s="467">
        <v>1405139.4</v>
      </c>
      <c r="T18" s="467"/>
      <c r="U18" s="467">
        <v>1405139.4</v>
      </c>
      <c r="V18" s="466"/>
      <c r="W18" s="466"/>
      <c r="X18" s="466"/>
      <c r="Y18" s="467">
        <v>2094002.4</v>
      </c>
      <c r="Z18" s="467"/>
      <c r="AA18" s="467">
        <v>2094002.4</v>
      </c>
      <c r="AB18" s="466"/>
      <c r="AC18" s="466"/>
      <c r="AD18" s="466"/>
      <c r="AE18" s="467">
        <v>1201197.8999999999</v>
      </c>
      <c r="AF18" s="467"/>
      <c r="AG18" s="467">
        <v>1201197.8999999999</v>
      </c>
      <c r="AH18" s="466"/>
      <c r="AI18" s="466"/>
      <c r="AJ18" s="466"/>
      <c r="AK18" s="466">
        <f>SUM(S18,Y18,AE18)</f>
        <v>4700339.6999999993</v>
      </c>
      <c r="AL18" s="466"/>
      <c r="AM18" s="466">
        <v>4700339.6999999993</v>
      </c>
      <c r="AN18" s="475"/>
      <c r="AO18" s="475"/>
      <c r="AP18" s="475"/>
      <c r="AQ18" s="467">
        <v>4699279.2</v>
      </c>
      <c r="AR18" s="467"/>
      <c r="AS18" s="467">
        <f>+AR18+AQ18+AP18+AO18+AN18</f>
        <v>4699279.2</v>
      </c>
      <c r="AT18" s="469"/>
      <c r="AU18" s="469"/>
      <c r="AV18" s="469"/>
      <c r="AW18" s="474">
        <f>SUM(AQ18,AK18)</f>
        <v>9399618.8999999985</v>
      </c>
      <c r="AX18" s="469"/>
      <c r="AY18" s="474">
        <f>AW18</f>
        <v>9399618.8999999985</v>
      </c>
    </row>
    <row r="19" spans="1:53" s="440" customFormat="1">
      <c r="A19" s="458" t="s">
        <v>190</v>
      </c>
      <c r="B19" s="461"/>
      <c r="C19" s="461"/>
      <c r="D19" s="461"/>
      <c r="E19" s="461"/>
      <c r="F19" s="456"/>
      <c r="G19" s="456"/>
      <c r="H19" s="456"/>
      <c r="I19" s="456"/>
      <c r="J19" s="476"/>
      <c r="K19" s="476"/>
      <c r="L19" s="476"/>
      <c r="M19" s="476"/>
      <c r="N19" s="476"/>
      <c r="O19" s="476"/>
      <c r="P19" s="476"/>
      <c r="Q19" s="476"/>
      <c r="R19" s="476"/>
      <c r="S19" s="476"/>
      <c r="T19" s="476"/>
      <c r="U19" s="476"/>
      <c r="V19" s="476"/>
      <c r="W19" s="476"/>
      <c r="X19" s="476"/>
      <c r="Y19" s="476"/>
      <c r="Z19" s="476"/>
      <c r="AA19" s="476"/>
      <c r="AB19" s="476"/>
      <c r="AC19" s="476"/>
      <c r="AD19" s="476"/>
      <c r="AE19" s="476"/>
      <c r="AF19" s="476"/>
      <c r="AG19" s="476"/>
      <c r="AH19" s="476"/>
      <c r="AI19" s="476"/>
      <c r="AJ19" s="476"/>
      <c r="AK19" s="476"/>
      <c r="AL19" s="476"/>
      <c r="AM19" s="476"/>
      <c r="AN19" s="469"/>
      <c r="AO19" s="469"/>
      <c r="AP19" s="469"/>
      <c r="AQ19" s="469"/>
      <c r="AR19" s="469"/>
      <c r="AS19" s="469"/>
      <c r="AT19" s="469"/>
      <c r="AU19" s="469"/>
      <c r="AV19" s="469"/>
      <c r="AW19" s="469"/>
      <c r="AX19" s="469"/>
      <c r="AY19" s="469"/>
      <c r="AZ19" s="439"/>
      <c r="BA19" s="439"/>
    </row>
    <row r="20" spans="1:53">
      <c r="A20" s="458" t="s">
        <v>587</v>
      </c>
      <c r="B20" s="461"/>
      <c r="C20" s="461"/>
      <c r="D20" s="461"/>
      <c r="E20" s="461"/>
      <c r="F20" s="456"/>
      <c r="G20" s="456"/>
      <c r="H20" s="456"/>
      <c r="I20" s="456"/>
      <c r="J20" s="476"/>
      <c r="K20" s="476"/>
      <c r="L20" s="476"/>
      <c r="M20" s="476"/>
      <c r="N20" s="476"/>
      <c r="O20" s="476"/>
      <c r="P20" s="476"/>
      <c r="Q20" s="476"/>
      <c r="R20" s="476"/>
      <c r="S20" s="476"/>
      <c r="T20" s="476"/>
      <c r="U20" s="476"/>
      <c r="V20" s="476"/>
      <c r="W20" s="476"/>
      <c r="X20" s="476"/>
      <c r="Y20" s="476"/>
      <c r="Z20" s="476"/>
      <c r="AA20" s="476"/>
      <c r="AB20" s="476"/>
      <c r="AC20" s="476"/>
      <c r="AD20" s="476"/>
      <c r="AE20" s="476"/>
      <c r="AF20" s="476"/>
      <c r="AG20" s="476"/>
      <c r="AH20" s="476"/>
      <c r="AI20" s="476"/>
      <c r="AJ20" s="476"/>
      <c r="AK20" s="476"/>
      <c r="AL20" s="476"/>
      <c r="AM20" s="476"/>
      <c r="AN20" s="469"/>
      <c r="AO20" s="469"/>
      <c r="AP20" s="469"/>
      <c r="AQ20" s="469"/>
      <c r="AR20" s="469"/>
      <c r="AS20" s="469"/>
      <c r="AT20" s="469"/>
      <c r="AU20" s="469"/>
      <c r="AV20" s="469"/>
      <c r="AW20" s="469"/>
      <c r="AX20" s="469"/>
      <c r="AY20" s="469"/>
    </row>
    <row r="21" spans="1:53" ht="165.75">
      <c r="A21" s="458" t="s">
        <v>332</v>
      </c>
      <c r="B21" s="458" t="s">
        <v>597</v>
      </c>
      <c r="C21" s="458"/>
      <c r="D21" s="483" t="s">
        <v>141</v>
      </c>
      <c r="E21" s="483" t="s">
        <v>617</v>
      </c>
      <c r="F21" s="457">
        <f>F8</f>
        <v>6</v>
      </c>
      <c r="G21" s="457"/>
      <c r="H21" s="459" t="s">
        <v>563</v>
      </c>
      <c r="I21" s="457" t="s">
        <v>633</v>
      </c>
      <c r="J21" s="467">
        <v>487114</v>
      </c>
      <c r="K21" s="475"/>
      <c r="L21" s="475"/>
      <c r="M21" s="475"/>
      <c r="N21" s="477"/>
      <c r="O21" s="472">
        <f>SUM(J21:N21)</f>
        <v>487114</v>
      </c>
      <c r="P21" s="467">
        <v>8733397.0011599995</v>
      </c>
      <c r="Q21" s="467"/>
      <c r="R21" s="467"/>
      <c r="S21" s="467"/>
      <c r="T21" s="465"/>
      <c r="U21" s="467">
        <f>SUM(P21:T21)</f>
        <v>8733397.0011599995</v>
      </c>
      <c r="V21" s="467">
        <v>14639225.898330208</v>
      </c>
      <c r="W21" s="467"/>
      <c r="X21" s="467"/>
      <c r="Y21" s="467"/>
      <c r="Z21" s="467"/>
      <c r="AA21" s="467">
        <f>SUM(V21:Z21)</f>
        <v>14639225.898330208</v>
      </c>
      <c r="AB21" s="467">
        <v>10699616</v>
      </c>
      <c r="AC21" s="468"/>
      <c r="AD21" s="468"/>
      <c r="AE21" s="468"/>
      <c r="AF21" s="468"/>
      <c r="AG21" s="467">
        <f>SUM(AB21:AF21)</f>
        <v>10699616</v>
      </c>
      <c r="AH21" s="475">
        <f>SUM(J21,P21,V21,AB21)</f>
        <v>34559352.899490207</v>
      </c>
      <c r="AI21" s="472"/>
      <c r="AJ21" s="472"/>
      <c r="AK21" s="472"/>
      <c r="AL21" s="472"/>
      <c r="AM21" s="466">
        <f>SUM(AH21:AL21)</f>
        <v>34559352.899490207</v>
      </c>
      <c r="AN21" s="469"/>
      <c r="AO21" s="469"/>
      <c r="AP21" s="469"/>
      <c r="AQ21" s="469"/>
      <c r="AR21" s="469"/>
      <c r="AS21" s="469"/>
      <c r="AT21" s="474">
        <f>SUM(J21,P21,V21,AB21)</f>
        <v>34559352.899490207</v>
      </c>
      <c r="AU21" s="469"/>
      <c r="AV21" s="469"/>
      <c r="AW21" s="469"/>
      <c r="AX21" s="469"/>
      <c r="AY21" s="474">
        <f>AT21</f>
        <v>34559352.899490207</v>
      </c>
    </row>
    <row r="22" spans="1:53" s="444" customFormat="1">
      <c r="A22" s="446" t="s">
        <v>609</v>
      </c>
      <c r="B22" s="449"/>
      <c r="C22" s="446"/>
      <c r="D22" s="446"/>
      <c r="E22" s="446"/>
      <c r="F22" s="446"/>
      <c r="G22" s="446"/>
      <c r="H22" s="446"/>
      <c r="I22" s="446"/>
      <c r="J22" s="478">
        <f>SUM(J21,J11,J10)</f>
        <v>1667614</v>
      </c>
      <c r="K22" s="479"/>
      <c r="L22" s="479"/>
      <c r="M22" s="478">
        <f>SUM(M8)</f>
        <v>1341095.8</v>
      </c>
      <c r="N22" s="479"/>
      <c r="O22" s="478">
        <f>SUM(O21,O11,O10,O8)</f>
        <v>3008709.8</v>
      </c>
      <c r="P22" s="478">
        <f>SUM(P21,P17,P11,P10)</f>
        <v>11818927.00116</v>
      </c>
      <c r="Q22" s="479"/>
      <c r="R22" s="479"/>
      <c r="S22" s="478">
        <f>SUM(S18,S8)</f>
        <v>2746235.2</v>
      </c>
      <c r="T22" s="479"/>
      <c r="U22" s="478">
        <f>SUM(U21,U18,U17,U11,U10,U8)</f>
        <v>14565162.201160001</v>
      </c>
      <c r="V22" s="478">
        <f>SUM(V21,V17,V11,V10)</f>
        <v>17321205.139130209</v>
      </c>
      <c r="W22" s="479"/>
      <c r="X22" s="479"/>
      <c r="Y22" s="478">
        <f>SUM(Y18,Y8)</f>
        <v>3435098.2</v>
      </c>
      <c r="Z22" s="479"/>
      <c r="AA22" s="478">
        <f>SUM(AA21,AA18,AA17,AA11,AA10,AA8)</f>
        <v>20756303.339130208</v>
      </c>
      <c r="AB22" s="478">
        <f>SUM(AB21,AB17)</f>
        <v>12224365.106816001</v>
      </c>
      <c r="AC22" s="479"/>
      <c r="AD22" s="479"/>
      <c r="AE22" s="478">
        <f>SUM(AE18,AE8)</f>
        <v>2542293.7000000002</v>
      </c>
      <c r="AF22" s="479"/>
      <c r="AG22" s="478">
        <f>SUM(AG21,AG18,AG17,AG8)</f>
        <v>14766658.806816002</v>
      </c>
      <c r="AH22" s="480">
        <f>SUM(AH21,AH17,AH11,AH10)</f>
        <v>43032111.247106209</v>
      </c>
      <c r="AI22" s="479"/>
      <c r="AJ22" s="479"/>
      <c r="AK22" s="481">
        <f>SUM(AK18,AK8)</f>
        <v>10064722.899999999</v>
      </c>
      <c r="AL22" s="479"/>
      <c r="AM22" s="481">
        <f>SUM(AM21,AM18,AM17,AM11,AM10,AM8)</f>
        <v>53096834.147106215</v>
      </c>
      <c r="AN22" s="479"/>
      <c r="AO22" s="479"/>
      <c r="AP22" s="479"/>
      <c r="AQ22" s="478">
        <f>SUM(AQ18)</f>
        <v>4699279.2</v>
      </c>
      <c r="AR22" s="479"/>
      <c r="AS22" s="478">
        <f>SUM(AS18)</f>
        <v>4699279.2</v>
      </c>
      <c r="AT22" s="478">
        <f>SUM(AT21,AT17,AT11,AT10)</f>
        <v>43032111.247106209</v>
      </c>
      <c r="AU22" s="479"/>
      <c r="AV22" s="479"/>
      <c r="AW22" s="478">
        <f>SUM(AW18,AW8)</f>
        <v>14764002.099999998</v>
      </c>
      <c r="AX22" s="479"/>
      <c r="AY22" s="478">
        <f>SUM(AY21,AY18,AY17,AY11,AY10,AY8)</f>
        <v>57796113.347106211</v>
      </c>
      <c r="AZ22" s="439"/>
      <c r="BA22" s="439"/>
    </row>
    <row r="23" spans="1:53">
      <c r="AT23" s="486"/>
    </row>
    <row r="24" spans="1:53">
      <c r="J24" s="445"/>
      <c r="M24" s="445"/>
      <c r="O24" s="445"/>
      <c r="P24" s="445"/>
      <c r="S24" s="445" t="e">
        <f>S13+S20+#REF!</f>
        <v>#REF!</v>
      </c>
      <c r="U24" s="445" t="e">
        <f>U13+U20+#REF!</f>
        <v>#REF!</v>
      </c>
      <c r="V24" s="445"/>
      <c r="Y24" s="445"/>
      <c r="AA24" s="445"/>
      <c r="AB24" s="445"/>
      <c r="AE24" s="445"/>
      <c r="AG24" s="445"/>
      <c r="AH24" s="445"/>
      <c r="AK24" s="445"/>
      <c r="AM24" s="445"/>
      <c r="AS24" s="445"/>
    </row>
    <row r="25" spans="1:53">
      <c r="AR25" s="447"/>
      <c r="AS25" s="445"/>
      <c r="AU25" s="442"/>
      <c r="AV25" s="442"/>
      <c r="AW25" s="442"/>
      <c r="AX25" s="442"/>
    </row>
    <row r="26" spans="1:53">
      <c r="O26" s="447"/>
      <c r="U26" s="447"/>
      <c r="AA26" s="447"/>
      <c r="AG26" s="447"/>
      <c r="AS26" s="445"/>
      <c r="AU26" s="447"/>
      <c r="AV26" s="447"/>
      <c r="AW26" s="447"/>
      <c r="AX26" s="447"/>
    </row>
    <row r="27" spans="1:53">
      <c r="AU27" s="447"/>
      <c r="AV27" s="447"/>
      <c r="AW27" s="447"/>
      <c r="AX27" s="447"/>
    </row>
    <row r="97" spans="1:1" ht="25.5">
      <c r="A97" s="438" t="s">
        <v>531</v>
      </c>
    </row>
    <row r="99" spans="1:1">
      <c r="A99" s="438" t="s">
        <v>532</v>
      </c>
    </row>
    <row r="100" spans="1:1">
      <c r="A100" s="438" t="s">
        <v>533</v>
      </c>
    </row>
    <row r="104" spans="1:1" ht="25.5">
      <c r="A104" s="438" t="s">
        <v>534</v>
      </c>
    </row>
    <row r="105" spans="1:1">
      <c r="A105" s="438" t="s">
        <v>535</v>
      </c>
    </row>
    <row r="106" spans="1:1">
      <c r="A106" s="438" t="s">
        <v>536</v>
      </c>
    </row>
    <row r="107" spans="1:1" ht="25.5">
      <c r="A107" s="438" t="s">
        <v>537</v>
      </c>
    </row>
    <row r="108" spans="1:1" ht="25.5">
      <c r="A108" s="438" t="s">
        <v>538</v>
      </c>
    </row>
    <row r="111" spans="1:1" ht="25.5">
      <c r="A111" s="438" t="s">
        <v>539</v>
      </c>
    </row>
    <row r="112" spans="1:1">
      <c r="A112" s="438" t="s">
        <v>540</v>
      </c>
    </row>
    <row r="114" spans="1:1" ht="25.5">
      <c r="A114" s="438" t="s">
        <v>541</v>
      </c>
    </row>
  </sheetData>
  <mergeCells count="26">
    <mergeCell ref="A1:A3"/>
    <mergeCell ref="B1:B3"/>
    <mergeCell ref="C1:C3"/>
    <mergeCell ref="G1:G3"/>
    <mergeCell ref="J1:O1"/>
    <mergeCell ref="P1:U1"/>
    <mergeCell ref="V1:AA1"/>
    <mergeCell ref="AB1:AG1"/>
    <mergeCell ref="C15:C16"/>
    <mergeCell ref="F1:F3"/>
    <mergeCell ref="D1:E1"/>
    <mergeCell ref="D2:D3"/>
    <mergeCell ref="E2:E3"/>
    <mergeCell ref="J2:O2"/>
    <mergeCell ref="P2:U2"/>
    <mergeCell ref="H1:H3"/>
    <mergeCell ref="I1:I3"/>
    <mergeCell ref="H15:H16"/>
    <mergeCell ref="AN1:AS1"/>
    <mergeCell ref="AT1:AY1"/>
    <mergeCell ref="AT2:AY2"/>
    <mergeCell ref="V2:AA2"/>
    <mergeCell ref="AB2:AG2"/>
    <mergeCell ref="AN2:AS2"/>
    <mergeCell ref="AH2:AM2"/>
    <mergeCell ref="AH1:AM1"/>
  </mergeCells>
  <printOptions horizontalCentered="1"/>
  <pageMargins left="0.33" right="0.36" top="0.75" bottom="0.75" header="0.3" footer="0.3"/>
  <pageSetup paperSize="9" scale="60" pageOrder="overThenDown" orientation="landscape" horizontalDpi="300" verticalDpi="300" r:id="rId1"/>
  <headerFooter>
    <oddHeader>&amp;C&amp;"Arial,Bold"&amp;12Chapter 6: Social Development
Annex B: List of Strategic Core Investment Programs and Projects (CIPs) with Annual Investment Targets By Source of Financing</oddHeader>
    <oddFooter>&amp;C&amp;"Arial,Bold"&amp;12 2011-2016 Revalidated Public Investment Program &amp;RPage &amp;P of &amp;N</oddFooter>
  </headerFooter>
  <rowBreaks count="1" manualBreakCount="1">
    <brk id="16" max="50" man="1"/>
  </rowBreaks>
  <colBreaks count="7" manualBreakCount="7">
    <brk id="9" max="21" man="1"/>
    <brk id="15" max="21" man="1"/>
    <brk id="21" max="21" man="1"/>
    <brk id="27" max="21" man="1"/>
    <brk id="33" max="21" man="1"/>
    <brk id="39" max="21" man="1"/>
    <brk id="45" max="21" man="1"/>
  </colBreaks>
</worksheet>
</file>

<file path=xl/worksheets/sheet3.xml><?xml version="1.0" encoding="utf-8"?>
<worksheet xmlns="http://schemas.openxmlformats.org/spreadsheetml/2006/main" xmlns:r="http://schemas.openxmlformats.org/officeDocument/2006/relationships">
  <dimension ref="A1:AV134"/>
  <sheetViews>
    <sheetView zoomScale="70" zoomScaleNormal="70" workbookViewId="0">
      <pane xSplit="1" ySplit="4" topLeftCell="AM61" activePane="bottomRight" state="frozen"/>
      <selection activeCell="A22" sqref="A22"/>
      <selection pane="topRight" activeCell="A22" sqref="A22"/>
      <selection pane="bottomLeft" activeCell="A22" sqref="A22"/>
      <selection pane="bottomRight" activeCell="AV86" sqref="AV86"/>
    </sheetView>
  </sheetViews>
  <sheetFormatPr defaultRowHeight="12.75"/>
  <cols>
    <col min="1" max="1" width="39.5703125" style="34" customWidth="1"/>
    <col min="2" max="2" width="13.28515625" style="16" customWidth="1"/>
    <col min="3" max="3" width="13" style="16" customWidth="1"/>
    <col min="4" max="4" width="9.7109375" style="34" customWidth="1"/>
    <col min="5" max="5" width="32.85546875" style="34" customWidth="1"/>
    <col min="6" max="6" width="18.5703125" style="34" customWidth="1"/>
    <col min="7" max="7" width="13.140625" style="91" customWidth="1"/>
    <col min="8" max="8" width="21.28515625" style="91" customWidth="1"/>
    <col min="9" max="10" width="12" style="91" customWidth="1"/>
    <col min="11" max="11" width="17.42578125" style="91" customWidth="1"/>
    <col min="12" max="12" width="16" style="91" customWidth="1"/>
    <col min="13" max="17" width="20.7109375" style="33" customWidth="1"/>
    <col min="18" max="18" width="20.7109375" style="41" bestFit="1" customWidth="1"/>
    <col min="19" max="23" width="20.7109375" style="33" customWidth="1"/>
    <col min="24" max="30" width="20.7109375" style="41" customWidth="1"/>
    <col min="31" max="35" width="20.7109375" style="33" customWidth="1"/>
    <col min="36" max="36" width="20.7109375" style="41" customWidth="1"/>
    <col min="37" max="41" width="20.7109375" style="33" customWidth="1"/>
    <col min="42" max="42" width="20.7109375" style="41" customWidth="1"/>
    <col min="43" max="43" width="9.5703125" style="34" bestFit="1" customWidth="1"/>
    <col min="44" max="44" width="16.42578125" style="34" bestFit="1" customWidth="1"/>
    <col min="45" max="45" width="13.140625" style="34" bestFit="1" customWidth="1"/>
    <col min="46" max="46" width="14" style="34" bestFit="1" customWidth="1"/>
    <col min="47" max="47" width="17.140625" style="34" bestFit="1" customWidth="1"/>
    <col min="48" max="48" width="16.42578125" style="34" bestFit="1" customWidth="1"/>
    <col min="49" max="16384" width="9.140625" style="34"/>
  </cols>
  <sheetData>
    <row r="1" spans="1:48">
      <c r="A1" s="527"/>
      <c r="B1" s="309"/>
      <c r="C1" s="309"/>
      <c r="D1" s="519" t="s">
        <v>0</v>
      </c>
      <c r="E1" s="519" t="s">
        <v>198</v>
      </c>
      <c r="F1" s="530" t="s">
        <v>1</v>
      </c>
      <c r="G1" s="531"/>
      <c r="H1" s="519" t="s">
        <v>4</v>
      </c>
      <c r="I1" s="519" t="s">
        <v>199</v>
      </c>
      <c r="J1" s="519" t="s">
        <v>127</v>
      </c>
      <c r="K1" s="519" t="s">
        <v>128</v>
      </c>
      <c r="L1" s="519" t="s">
        <v>200</v>
      </c>
      <c r="M1" s="522" t="s">
        <v>129</v>
      </c>
      <c r="N1" s="522"/>
      <c r="O1" s="522"/>
      <c r="P1" s="522"/>
      <c r="Q1" s="522"/>
      <c r="R1" s="522"/>
      <c r="S1" s="522"/>
      <c r="T1" s="522"/>
      <c r="U1" s="522"/>
      <c r="V1" s="522"/>
      <c r="W1" s="522"/>
      <c r="X1" s="522"/>
      <c r="Y1" s="522"/>
      <c r="Z1" s="522"/>
      <c r="AA1" s="522"/>
      <c r="AB1" s="522"/>
      <c r="AC1" s="522"/>
      <c r="AD1" s="522"/>
      <c r="AE1" s="522"/>
      <c r="AF1" s="522"/>
      <c r="AG1" s="522"/>
      <c r="AH1" s="522"/>
      <c r="AI1" s="522"/>
      <c r="AJ1" s="522"/>
      <c r="AK1" s="522"/>
      <c r="AL1" s="522"/>
      <c r="AM1" s="522"/>
      <c r="AN1" s="522"/>
      <c r="AO1" s="522"/>
      <c r="AP1" s="522"/>
      <c r="AQ1" s="372"/>
      <c r="AR1" s="373"/>
      <c r="AS1" s="373"/>
      <c r="AT1" s="373"/>
      <c r="AU1" s="373"/>
      <c r="AV1" s="374"/>
    </row>
    <row r="2" spans="1:48" ht="38.25">
      <c r="A2" s="528"/>
      <c r="B2" s="310" t="s">
        <v>124</v>
      </c>
      <c r="C2" s="310" t="s">
        <v>125</v>
      </c>
      <c r="D2" s="520"/>
      <c r="E2" s="520"/>
      <c r="F2" s="525" t="s">
        <v>201</v>
      </c>
      <c r="G2" s="525" t="s">
        <v>2</v>
      </c>
      <c r="H2" s="520"/>
      <c r="I2" s="520"/>
      <c r="J2" s="520"/>
      <c r="K2" s="520"/>
      <c r="L2" s="520"/>
      <c r="M2" s="496" t="s">
        <v>202</v>
      </c>
      <c r="N2" s="497"/>
      <c r="O2" s="497"/>
      <c r="P2" s="497"/>
      <c r="Q2" s="497"/>
      <c r="R2" s="497"/>
      <c r="S2" s="496" t="s">
        <v>203</v>
      </c>
      <c r="T2" s="497"/>
      <c r="U2" s="497"/>
      <c r="V2" s="497"/>
      <c r="W2" s="497"/>
      <c r="X2" s="497"/>
      <c r="Y2" s="523" t="s">
        <v>132</v>
      </c>
      <c r="Z2" s="522"/>
      <c r="AA2" s="522"/>
      <c r="AB2" s="522"/>
      <c r="AC2" s="522"/>
      <c r="AD2" s="524"/>
      <c r="AE2" s="496" t="s">
        <v>133</v>
      </c>
      <c r="AF2" s="497"/>
      <c r="AG2" s="497"/>
      <c r="AH2" s="497"/>
      <c r="AI2" s="497"/>
      <c r="AJ2" s="497"/>
      <c r="AK2" s="523" t="s">
        <v>582</v>
      </c>
      <c r="AL2" s="535"/>
      <c r="AM2" s="535"/>
      <c r="AN2" s="535"/>
      <c r="AO2" s="535"/>
      <c r="AP2" s="536"/>
      <c r="AQ2" s="532" t="s">
        <v>447</v>
      </c>
      <c r="AR2" s="533"/>
      <c r="AS2" s="533"/>
      <c r="AT2" s="533"/>
      <c r="AU2" s="533"/>
      <c r="AV2" s="534"/>
    </row>
    <row r="3" spans="1:48" ht="15.75" customHeight="1">
      <c r="A3" s="529"/>
      <c r="B3" s="311"/>
      <c r="C3" s="311"/>
      <c r="D3" s="521"/>
      <c r="E3" s="521"/>
      <c r="F3" s="526"/>
      <c r="G3" s="526"/>
      <c r="H3" s="521"/>
      <c r="I3" s="521"/>
      <c r="J3" s="521"/>
      <c r="K3" s="521"/>
      <c r="L3" s="521"/>
      <c r="M3" s="317" t="s">
        <v>123</v>
      </c>
      <c r="N3" s="317" t="s">
        <v>204</v>
      </c>
      <c r="O3" s="317" t="s">
        <v>205</v>
      </c>
      <c r="P3" s="317" t="s">
        <v>137</v>
      </c>
      <c r="Q3" s="317" t="s">
        <v>138</v>
      </c>
      <c r="R3" s="317" t="s">
        <v>139</v>
      </c>
      <c r="S3" s="317" t="s">
        <v>123</v>
      </c>
      <c r="T3" s="317" t="s">
        <v>135</v>
      </c>
      <c r="U3" s="317" t="s">
        <v>206</v>
      </c>
      <c r="V3" s="317" t="s">
        <v>137</v>
      </c>
      <c r="W3" s="317" t="s">
        <v>138</v>
      </c>
      <c r="X3" s="317" t="s">
        <v>139</v>
      </c>
      <c r="Y3" s="317" t="s">
        <v>123</v>
      </c>
      <c r="Z3" s="317" t="s">
        <v>204</v>
      </c>
      <c r="AA3" s="317" t="s">
        <v>205</v>
      </c>
      <c r="AB3" s="317" t="s">
        <v>137</v>
      </c>
      <c r="AC3" s="317" t="s">
        <v>138</v>
      </c>
      <c r="AD3" s="317" t="s">
        <v>139</v>
      </c>
      <c r="AE3" s="317" t="s">
        <v>123</v>
      </c>
      <c r="AF3" s="317" t="s">
        <v>204</v>
      </c>
      <c r="AG3" s="317" t="s">
        <v>206</v>
      </c>
      <c r="AH3" s="317" t="s">
        <v>137</v>
      </c>
      <c r="AI3" s="317" t="s">
        <v>138</v>
      </c>
      <c r="AJ3" s="317" t="s">
        <v>139</v>
      </c>
      <c r="AK3" s="317" t="s">
        <v>123</v>
      </c>
      <c r="AL3" s="317" t="s">
        <v>135</v>
      </c>
      <c r="AM3" s="317" t="s">
        <v>206</v>
      </c>
      <c r="AN3" s="317" t="s">
        <v>137</v>
      </c>
      <c r="AO3" s="317" t="s">
        <v>138</v>
      </c>
      <c r="AP3" s="317" t="s">
        <v>140</v>
      </c>
      <c r="AQ3" s="375" t="s">
        <v>123</v>
      </c>
      <c r="AR3" s="376" t="s">
        <v>135</v>
      </c>
      <c r="AS3" s="376" t="s">
        <v>136</v>
      </c>
      <c r="AT3" s="376" t="s">
        <v>137</v>
      </c>
      <c r="AU3" s="376" t="s">
        <v>138</v>
      </c>
      <c r="AV3" s="377" t="s">
        <v>140</v>
      </c>
    </row>
    <row r="4" spans="1:48">
      <c r="A4" s="324"/>
      <c r="B4" s="311" t="s">
        <v>6</v>
      </c>
      <c r="C4" s="311" t="s">
        <v>7</v>
      </c>
      <c r="D4" s="311" t="s">
        <v>15</v>
      </c>
      <c r="E4" s="312" t="s">
        <v>207</v>
      </c>
      <c r="F4" s="311" t="s">
        <v>9</v>
      </c>
      <c r="G4" s="311" t="s">
        <v>10</v>
      </c>
      <c r="H4" s="311" t="s">
        <v>11</v>
      </c>
      <c r="I4" s="311" t="s">
        <v>12</v>
      </c>
      <c r="J4" s="311"/>
      <c r="K4" s="317" t="s">
        <v>13</v>
      </c>
      <c r="L4" s="317" t="s">
        <v>14</v>
      </c>
      <c r="M4" s="317" t="s">
        <v>208</v>
      </c>
      <c r="N4" s="317" t="s">
        <v>209</v>
      </c>
      <c r="O4" s="317" t="s">
        <v>210</v>
      </c>
      <c r="P4" s="317" t="s">
        <v>211</v>
      </c>
      <c r="Q4" s="317" t="s">
        <v>212</v>
      </c>
      <c r="R4" s="317" t="s">
        <v>213</v>
      </c>
      <c r="S4" s="317" t="s">
        <v>214</v>
      </c>
      <c r="T4" s="317" t="s">
        <v>215</v>
      </c>
      <c r="U4" s="317" t="s">
        <v>216</v>
      </c>
      <c r="V4" s="317" t="s">
        <v>217</v>
      </c>
      <c r="W4" s="317" t="s">
        <v>218</v>
      </c>
      <c r="X4" s="317" t="s">
        <v>219</v>
      </c>
      <c r="Y4" s="317" t="s">
        <v>220</v>
      </c>
      <c r="Z4" s="317" t="s">
        <v>221</v>
      </c>
      <c r="AA4" s="317" t="s">
        <v>222</v>
      </c>
      <c r="AB4" s="317" t="s">
        <v>223</v>
      </c>
      <c r="AC4" s="317" t="s">
        <v>224</v>
      </c>
      <c r="AD4" s="317" t="s">
        <v>225</v>
      </c>
      <c r="AE4" s="317" t="s">
        <v>226</v>
      </c>
      <c r="AF4" s="317" t="s">
        <v>227</v>
      </c>
      <c r="AG4" s="317" t="s">
        <v>228</v>
      </c>
      <c r="AH4" s="317" t="s">
        <v>229</v>
      </c>
      <c r="AI4" s="317" t="s">
        <v>230</v>
      </c>
      <c r="AJ4" s="317" t="s">
        <v>231</v>
      </c>
      <c r="AK4" s="35" t="s">
        <v>232</v>
      </c>
      <c r="AL4" s="321" t="s">
        <v>233</v>
      </c>
      <c r="AM4" s="35" t="s">
        <v>234</v>
      </c>
      <c r="AN4" s="321" t="s">
        <v>235</v>
      </c>
      <c r="AO4" s="321" t="s">
        <v>236</v>
      </c>
      <c r="AP4" s="315" t="s">
        <v>237</v>
      </c>
      <c r="AQ4" s="11"/>
      <c r="AR4" s="21"/>
      <c r="AS4" s="21"/>
      <c r="AT4" s="21"/>
      <c r="AU4" s="21"/>
      <c r="AV4" s="21"/>
    </row>
    <row r="5" spans="1:48" ht="25.5">
      <c r="A5" s="36" t="s">
        <v>238</v>
      </c>
      <c r="B5" s="4"/>
      <c r="C5" s="4"/>
      <c r="D5" s="21"/>
      <c r="E5" s="21"/>
      <c r="F5" s="21"/>
      <c r="G5" s="10"/>
      <c r="H5" s="10"/>
      <c r="I5" s="10"/>
      <c r="J5" s="10"/>
      <c r="K5" s="10"/>
      <c r="L5" s="10"/>
      <c r="M5" s="11"/>
      <c r="N5" s="11"/>
      <c r="O5" s="11"/>
      <c r="P5" s="11"/>
      <c r="Q5" s="11"/>
      <c r="R5" s="37"/>
      <c r="S5" s="11"/>
      <c r="T5" s="11"/>
      <c r="U5" s="11"/>
      <c r="V5" s="11"/>
      <c r="W5" s="11"/>
      <c r="X5" s="37"/>
      <c r="Y5" s="37"/>
      <c r="Z5" s="37"/>
      <c r="AA5" s="37"/>
      <c r="AB5" s="37"/>
      <c r="AC5" s="37"/>
      <c r="AD5" s="37"/>
      <c r="AE5" s="11"/>
      <c r="AF5" s="11"/>
      <c r="AG5" s="11"/>
      <c r="AH5" s="11"/>
      <c r="AI5" s="11"/>
      <c r="AJ5" s="37"/>
      <c r="AK5" s="11"/>
      <c r="AL5" s="11"/>
      <c r="AM5" s="11"/>
      <c r="AN5" s="11"/>
      <c r="AO5" s="11"/>
      <c r="AP5" s="333"/>
      <c r="AQ5" s="21"/>
      <c r="AR5" s="21"/>
      <c r="AS5" s="21"/>
      <c r="AT5" s="21"/>
      <c r="AU5" s="21"/>
      <c r="AV5" s="21"/>
    </row>
    <row r="6" spans="1:48" ht="25.5">
      <c r="A6" s="9" t="s">
        <v>239</v>
      </c>
      <c r="B6" s="4"/>
      <c r="C6" s="4"/>
      <c r="D6" s="21"/>
      <c r="E6" s="21"/>
      <c r="F6" s="21"/>
      <c r="G6" s="10"/>
      <c r="H6" s="10"/>
      <c r="I6" s="10"/>
      <c r="J6" s="10"/>
      <c r="K6" s="10"/>
      <c r="L6" s="10"/>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334"/>
      <c r="AQ6" s="21"/>
      <c r="AR6" s="21"/>
      <c r="AS6" s="21"/>
      <c r="AT6" s="21"/>
      <c r="AU6" s="21"/>
      <c r="AV6" s="21"/>
    </row>
    <row r="7" spans="1:48">
      <c r="A7" s="44" t="s">
        <v>195</v>
      </c>
      <c r="B7" s="29"/>
      <c r="C7" s="29"/>
      <c r="D7" s="45"/>
      <c r="E7" s="45"/>
      <c r="F7" s="45"/>
      <c r="G7" s="26"/>
      <c r="H7" s="26"/>
      <c r="I7" s="26"/>
      <c r="J7" s="26"/>
      <c r="K7" s="26"/>
      <c r="L7" s="2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335"/>
      <c r="AQ7" s="407"/>
      <c r="AR7" s="407"/>
      <c r="AS7" s="407"/>
      <c r="AT7" s="407"/>
      <c r="AU7" s="407"/>
      <c r="AV7" s="407"/>
    </row>
    <row r="8" spans="1:48" ht="25.5">
      <c r="A8" s="9" t="s">
        <v>186</v>
      </c>
      <c r="B8" s="4"/>
      <c r="C8" s="4"/>
      <c r="D8" s="21"/>
      <c r="E8" s="21"/>
      <c r="F8" s="21"/>
      <c r="G8" s="10"/>
      <c r="H8" s="10"/>
      <c r="I8" s="10"/>
      <c r="J8" s="10"/>
      <c r="K8" s="10"/>
      <c r="L8" s="10"/>
      <c r="M8" s="11"/>
      <c r="N8" s="11"/>
      <c r="O8" s="11"/>
      <c r="P8" s="11"/>
      <c r="Q8" s="11"/>
      <c r="R8" s="39">
        <f t="shared" ref="R8:R39" si="0">SUM(M8:Q8)</f>
        <v>0</v>
      </c>
      <c r="S8" s="11"/>
      <c r="T8" s="11"/>
      <c r="U8" s="11"/>
      <c r="V8" s="11"/>
      <c r="W8" s="11"/>
      <c r="X8" s="39">
        <f t="shared" ref="X8:X40" si="1">SUM(S8:W8)</f>
        <v>0</v>
      </c>
      <c r="Y8" s="11"/>
      <c r="Z8" s="11"/>
      <c r="AA8" s="11"/>
      <c r="AB8" s="11"/>
      <c r="AC8" s="11"/>
      <c r="AD8" s="39">
        <f t="shared" ref="AD8:AD40" si="2">SUM(Y8:AC8)</f>
        <v>0</v>
      </c>
      <c r="AE8" s="11"/>
      <c r="AF8" s="11"/>
      <c r="AG8" s="11"/>
      <c r="AH8" s="11"/>
      <c r="AI8" s="11"/>
      <c r="AJ8" s="39">
        <f t="shared" ref="AJ8:AJ40" si="3">SUM(AE8:AI8)</f>
        <v>0</v>
      </c>
      <c r="AK8" s="39">
        <f t="shared" ref="AK8:AO24" si="4">M8+S8+Y8+AE8</f>
        <v>0</v>
      </c>
      <c r="AL8" s="39">
        <f t="shared" si="4"/>
        <v>0</v>
      </c>
      <c r="AM8" s="39">
        <f t="shared" si="4"/>
        <v>0</v>
      </c>
      <c r="AN8" s="39">
        <f t="shared" si="4"/>
        <v>0</v>
      </c>
      <c r="AO8" s="39">
        <f t="shared" si="4"/>
        <v>0</v>
      </c>
      <c r="AP8" s="336">
        <f t="shared" ref="AP8:AP40" si="5">SUM(AK8:AO8)</f>
        <v>0</v>
      </c>
      <c r="AQ8" s="21"/>
      <c r="AR8" s="21"/>
      <c r="AS8" s="21"/>
      <c r="AT8" s="21"/>
      <c r="AU8" s="21"/>
      <c r="AV8" s="21"/>
    </row>
    <row r="9" spans="1:48">
      <c r="A9" s="10"/>
      <c r="B9" s="4"/>
      <c r="C9" s="4"/>
      <c r="D9" s="10"/>
      <c r="E9" s="10"/>
      <c r="F9" s="10"/>
      <c r="G9" s="10"/>
      <c r="H9" s="10"/>
      <c r="I9" s="10"/>
      <c r="J9" s="10"/>
      <c r="K9" s="10"/>
      <c r="L9" s="10"/>
      <c r="M9" s="11"/>
      <c r="N9" s="11"/>
      <c r="O9" s="11"/>
      <c r="P9" s="11"/>
      <c r="Q9" s="11"/>
      <c r="R9" s="39">
        <f t="shared" si="0"/>
        <v>0</v>
      </c>
      <c r="S9" s="11"/>
      <c r="T9" s="11"/>
      <c r="U9" s="11"/>
      <c r="V9" s="11"/>
      <c r="W9" s="11"/>
      <c r="X9" s="39">
        <f t="shared" si="1"/>
        <v>0</v>
      </c>
      <c r="Y9" s="11"/>
      <c r="Z9" s="11"/>
      <c r="AA9" s="11"/>
      <c r="AB9" s="11"/>
      <c r="AC9" s="11"/>
      <c r="AD9" s="39">
        <f t="shared" si="2"/>
        <v>0</v>
      </c>
      <c r="AE9" s="11"/>
      <c r="AF9" s="11"/>
      <c r="AG9" s="11"/>
      <c r="AH9" s="11"/>
      <c r="AI9" s="11"/>
      <c r="AJ9" s="39">
        <f t="shared" si="3"/>
        <v>0</v>
      </c>
      <c r="AK9" s="39">
        <f t="shared" si="4"/>
        <v>0</v>
      </c>
      <c r="AL9" s="39">
        <f t="shared" si="4"/>
        <v>0</v>
      </c>
      <c r="AM9" s="39">
        <f t="shared" si="4"/>
        <v>0</v>
      </c>
      <c r="AN9" s="39">
        <f t="shared" si="4"/>
        <v>0</v>
      </c>
      <c r="AO9" s="39">
        <f t="shared" si="4"/>
        <v>0</v>
      </c>
      <c r="AP9" s="336">
        <f t="shared" si="5"/>
        <v>0</v>
      </c>
      <c r="AQ9" s="21"/>
      <c r="AR9" s="21"/>
      <c r="AS9" s="21"/>
      <c r="AT9" s="21"/>
      <c r="AU9" s="21"/>
      <c r="AV9" s="21"/>
    </row>
    <row r="10" spans="1:48" ht="25.5">
      <c r="A10" s="12" t="s">
        <v>161</v>
      </c>
      <c r="B10" s="4"/>
      <c r="C10" s="4"/>
      <c r="D10" s="10"/>
      <c r="E10" s="10"/>
      <c r="F10" s="10"/>
      <c r="G10" s="10"/>
      <c r="H10" s="10"/>
      <c r="I10" s="10"/>
      <c r="J10" s="10"/>
      <c r="K10" s="10"/>
      <c r="L10" s="10"/>
      <c r="M10" s="11"/>
      <c r="N10" s="11"/>
      <c r="O10" s="11"/>
      <c r="P10" s="11"/>
      <c r="Q10" s="11"/>
      <c r="R10" s="39">
        <f t="shared" si="0"/>
        <v>0</v>
      </c>
      <c r="S10" s="11"/>
      <c r="T10" s="11"/>
      <c r="U10" s="11"/>
      <c r="V10" s="11"/>
      <c r="W10" s="11"/>
      <c r="X10" s="39">
        <f t="shared" si="1"/>
        <v>0</v>
      </c>
      <c r="Y10" s="11"/>
      <c r="Z10" s="11"/>
      <c r="AA10" s="11"/>
      <c r="AB10" s="11"/>
      <c r="AC10" s="11"/>
      <c r="AD10" s="39">
        <f t="shared" si="2"/>
        <v>0</v>
      </c>
      <c r="AE10" s="11"/>
      <c r="AF10" s="11"/>
      <c r="AG10" s="11"/>
      <c r="AH10" s="11"/>
      <c r="AI10" s="11"/>
      <c r="AJ10" s="39">
        <f t="shared" si="3"/>
        <v>0</v>
      </c>
      <c r="AK10" s="39">
        <f t="shared" si="4"/>
        <v>0</v>
      </c>
      <c r="AL10" s="39">
        <f t="shared" si="4"/>
        <v>0</v>
      </c>
      <c r="AM10" s="39">
        <f t="shared" si="4"/>
        <v>0</v>
      </c>
      <c r="AN10" s="39">
        <f t="shared" si="4"/>
        <v>0</v>
      </c>
      <c r="AO10" s="39">
        <f t="shared" si="4"/>
        <v>0</v>
      </c>
      <c r="AP10" s="336">
        <f t="shared" si="5"/>
        <v>0</v>
      </c>
      <c r="AQ10" s="21"/>
      <c r="AR10" s="21"/>
      <c r="AS10" s="21"/>
      <c r="AT10" s="21"/>
      <c r="AU10" s="21"/>
      <c r="AV10" s="21"/>
    </row>
    <row r="11" spans="1:48" ht="25.5">
      <c r="A11" s="13" t="s">
        <v>162</v>
      </c>
      <c r="B11" s="4"/>
      <c r="C11" s="4"/>
      <c r="D11" s="10"/>
      <c r="E11" s="10"/>
      <c r="F11" s="10"/>
      <c r="G11" s="10"/>
      <c r="H11" s="10"/>
      <c r="I11" s="10"/>
      <c r="J11" s="10"/>
      <c r="K11" s="10"/>
      <c r="L11" s="10"/>
      <c r="M11" s="11"/>
      <c r="N11" s="11"/>
      <c r="O11" s="11"/>
      <c r="P11" s="11"/>
      <c r="Q11" s="11"/>
      <c r="R11" s="39">
        <f t="shared" si="0"/>
        <v>0</v>
      </c>
      <c r="S11" s="11"/>
      <c r="T11" s="11"/>
      <c r="U11" s="11"/>
      <c r="V11" s="11"/>
      <c r="W11" s="11"/>
      <c r="X11" s="39">
        <f t="shared" si="1"/>
        <v>0</v>
      </c>
      <c r="Y11" s="11"/>
      <c r="Z11" s="11"/>
      <c r="AA11" s="11"/>
      <c r="AB11" s="11"/>
      <c r="AC11" s="11"/>
      <c r="AD11" s="39">
        <f t="shared" si="2"/>
        <v>0</v>
      </c>
      <c r="AE11" s="11"/>
      <c r="AF11" s="11"/>
      <c r="AG11" s="11"/>
      <c r="AH11" s="11"/>
      <c r="AI11" s="11"/>
      <c r="AJ11" s="39">
        <f t="shared" si="3"/>
        <v>0</v>
      </c>
      <c r="AK11" s="39">
        <f t="shared" si="4"/>
        <v>0</v>
      </c>
      <c r="AL11" s="39">
        <f t="shared" si="4"/>
        <v>0</v>
      </c>
      <c r="AM11" s="39">
        <f t="shared" si="4"/>
        <v>0</v>
      </c>
      <c r="AN11" s="39">
        <f t="shared" si="4"/>
        <v>0</v>
      </c>
      <c r="AO11" s="39">
        <f t="shared" si="4"/>
        <v>0</v>
      </c>
      <c r="AP11" s="336">
        <f t="shared" si="5"/>
        <v>0</v>
      </c>
      <c r="AQ11" s="21"/>
      <c r="AR11" s="21"/>
      <c r="AS11" s="21"/>
      <c r="AT11" s="21"/>
      <c r="AU11" s="21"/>
      <c r="AV11" s="21"/>
    </row>
    <row r="12" spans="1:48" ht="25.5">
      <c r="A12" s="6" t="s">
        <v>163</v>
      </c>
      <c r="B12" s="4">
        <v>2</v>
      </c>
      <c r="C12" s="4">
        <v>95</v>
      </c>
      <c r="D12" s="4" t="s">
        <v>164</v>
      </c>
      <c r="E12" s="10" t="s">
        <v>240</v>
      </c>
      <c r="F12" s="4" t="s">
        <v>18</v>
      </c>
      <c r="G12" s="10"/>
      <c r="H12" s="4" t="s">
        <v>165</v>
      </c>
      <c r="I12" s="4" t="s">
        <v>182</v>
      </c>
      <c r="J12" s="4"/>
      <c r="K12" s="378" t="s">
        <v>543</v>
      </c>
      <c r="L12" s="38"/>
      <c r="M12" s="39">
        <v>12612283</v>
      </c>
      <c r="N12" s="39"/>
      <c r="O12" s="39"/>
      <c r="P12" s="39"/>
      <c r="Q12" s="39"/>
      <c r="R12" s="39">
        <f t="shared" si="0"/>
        <v>12612283</v>
      </c>
      <c r="S12" s="39">
        <v>35300000</v>
      </c>
      <c r="T12" s="39"/>
      <c r="U12" s="39"/>
      <c r="V12" s="39"/>
      <c r="W12" s="39"/>
      <c r="X12" s="39">
        <f t="shared" si="1"/>
        <v>35300000</v>
      </c>
      <c r="Y12" s="39">
        <v>35300000</v>
      </c>
      <c r="Z12" s="39"/>
      <c r="AA12" s="39"/>
      <c r="AB12" s="39"/>
      <c r="AC12" s="39"/>
      <c r="AD12" s="39">
        <f t="shared" si="2"/>
        <v>35300000</v>
      </c>
      <c r="AE12" s="39">
        <v>35300000</v>
      </c>
      <c r="AF12" s="39"/>
      <c r="AG12" s="39"/>
      <c r="AH12" s="39"/>
      <c r="AI12" s="39"/>
      <c r="AJ12" s="39">
        <f t="shared" si="3"/>
        <v>35300000</v>
      </c>
      <c r="AK12" s="39">
        <f t="shared" si="4"/>
        <v>118512283</v>
      </c>
      <c r="AL12" s="39">
        <f t="shared" si="4"/>
        <v>0</v>
      </c>
      <c r="AM12" s="39">
        <f t="shared" si="4"/>
        <v>0</v>
      </c>
      <c r="AN12" s="39">
        <f t="shared" si="4"/>
        <v>0</v>
      </c>
      <c r="AO12" s="39">
        <f t="shared" si="4"/>
        <v>0</v>
      </c>
      <c r="AP12" s="336">
        <f t="shared" si="5"/>
        <v>118512283</v>
      </c>
      <c r="AQ12" s="21"/>
      <c r="AR12" s="21"/>
      <c r="AS12" s="21"/>
      <c r="AT12" s="21"/>
      <c r="AU12" s="21"/>
      <c r="AV12" s="21"/>
    </row>
    <row r="13" spans="1:48">
      <c r="A13" s="6"/>
      <c r="B13" s="4"/>
      <c r="C13" s="4"/>
      <c r="D13" s="10"/>
      <c r="E13" s="10"/>
      <c r="F13" s="10"/>
      <c r="G13" s="10"/>
      <c r="H13" s="10"/>
      <c r="I13" s="10"/>
      <c r="J13" s="10"/>
      <c r="K13" s="10"/>
      <c r="L13" s="38"/>
      <c r="M13" s="39"/>
      <c r="N13" s="39"/>
      <c r="O13" s="39"/>
      <c r="P13" s="39"/>
      <c r="Q13" s="39"/>
      <c r="R13" s="39">
        <f t="shared" si="0"/>
        <v>0</v>
      </c>
      <c r="S13" s="39"/>
      <c r="T13" s="39"/>
      <c r="U13" s="39"/>
      <c r="V13" s="39"/>
      <c r="W13" s="39"/>
      <c r="X13" s="39">
        <f t="shared" si="1"/>
        <v>0</v>
      </c>
      <c r="Y13" s="39"/>
      <c r="Z13" s="39"/>
      <c r="AA13" s="39"/>
      <c r="AB13" s="39"/>
      <c r="AC13" s="39"/>
      <c r="AD13" s="39">
        <f t="shared" si="2"/>
        <v>0</v>
      </c>
      <c r="AE13" s="39"/>
      <c r="AF13" s="39"/>
      <c r="AG13" s="39"/>
      <c r="AH13" s="39"/>
      <c r="AI13" s="39"/>
      <c r="AJ13" s="39">
        <f t="shared" si="3"/>
        <v>0</v>
      </c>
      <c r="AK13" s="39">
        <f t="shared" si="4"/>
        <v>0</v>
      </c>
      <c r="AL13" s="39">
        <f t="shared" si="4"/>
        <v>0</v>
      </c>
      <c r="AM13" s="39">
        <f t="shared" si="4"/>
        <v>0</v>
      </c>
      <c r="AN13" s="39">
        <f t="shared" si="4"/>
        <v>0</v>
      </c>
      <c r="AO13" s="39">
        <f t="shared" si="4"/>
        <v>0</v>
      </c>
      <c r="AP13" s="336">
        <f t="shared" si="5"/>
        <v>0</v>
      </c>
      <c r="AQ13" s="21"/>
      <c r="AR13" s="21"/>
      <c r="AS13" s="21"/>
      <c r="AT13" s="21"/>
      <c r="AU13" s="21"/>
      <c r="AV13" s="21"/>
    </row>
    <row r="14" spans="1:48" ht="25.5">
      <c r="A14" s="22" t="s">
        <v>166</v>
      </c>
      <c r="B14" s="4"/>
      <c r="C14" s="4"/>
      <c r="D14" s="10"/>
      <c r="E14" s="10"/>
      <c r="F14" s="10"/>
      <c r="G14" s="10"/>
      <c r="H14" s="10"/>
      <c r="I14" s="10"/>
      <c r="J14" s="10"/>
      <c r="K14" s="10"/>
      <c r="L14" s="38"/>
      <c r="M14" s="39"/>
      <c r="N14" s="39"/>
      <c r="O14" s="39"/>
      <c r="P14" s="39"/>
      <c r="Q14" s="39"/>
      <c r="R14" s="39">
        <f t="shared" si="0"/>
        <v>0</v>
      </c>
      <c r="S14" s="39"/>
      <c r="T14" s="39"/>
      <c r="U14" s="39"/>
      <c r="V14" s="39"/>
      <c r="W14" s="39"/>
      <c r="X14" s="39">
        <f t="shared" si="1"/>
        <v>0</v>
      </c>
      <c r="Y14" s="39"/>
      <c r="Z14" s="39"/>
      <c r="AA14" s="39"/>
      <c r="AB14" s="39"/>
      <c r="AC14" s="39"/>
      <c r="AD14" s="39">
        <f t="shared" si="2"/>
        <v>0</v>
      </c>
      <c r="AE14" s="39"/>
      <c r="AF14" s="39"/>
      <c r="AG14" s="39"/>
      <c r="AH14" s="39"/>
      <c r="AI14" s="39"/>
      <c r="AJ14" s="39">
        <f t="shared" si="3"/>
        <v>0</v>
      </c>
      <c r="AK14" s="39">
        <f t="shared" si="4"/>
        <v>0</v>
      </c>
      <c r="AL14" s="39">
        <f t="shared" si="4"/>
        <v>0</v>
      </c>
      <c r="AM14" s="39">
        <f t="shared" si="4"/>
        <v>0</v>
      </c>
      <c r="AN14" s="39">
        <f t="shared" si="4"/>
        <v>0</v>
      </c>
      <c r="AO14" s="39">
        <f t="shared" si="4"/>
        <v>0</v>
      </c>
      <c r="AP14" s="336">
        <f t="shared" si="5"/>
        <v>0</v>
      </c>
      <c r="AQ14" s="21"/>
      <c r="AR14" s="21"/>
      <c r="AS14" s="21"/>
      <c r="AT14" s="21"/>
      <c r="AU14" s="21"/>
      <c r="AV14" s="21"/>
    </row>
    <row r="15" spans="1:48" ht="25.5">
      <c r="A15" s="14" t="s">
        <v>167</v>
      </c>
      <c r="B15" s="4"/>
      <c r="C15" s="4"/>
      <c r="D15" s="10"/>
      <c r="E15" s="10"/>
      <c r="F15" s="10"/>
      <c r="G15" s="10"/>
      <c r="H15" s="10"/>
      <c r="I15" s="10"/>
      <c r="J15" s="10"/>
      <c r="K15" s="10"/>
      <c r="L15" s="38"/>
      <c r="M15" s="39"/>
      <c r="N15" s="39"/>
      <c r="O15" s="39"/>
      <c r="P15" s="39"/>
      <c r="Q15" s="39"/>
      <c r="R15" s="39">
        <f t="shared" si="0"/>
        <v>0</v>
      </c>
      <c r="S15" s="39"/>
      <c r="T15" s="39"/>
      <c r="U15" s="39"/>
      <c r="V15" s="39"/>
      <c r="W15" s="39"/>
      <c r="X15" s="39">
        <f t="shared" si="1"/>
        <v>0</v>
      </c>
      <c r="Y15" s="39"/>
      <c r="Z15" s="39"/>
      <c r="AA15" s="39"/>
      <c r="AB15" s="39"/>
      <c r="AC15" s="39"/>
      <c r="AD15" s="39">
        <f t="shared" si="2"/>
        <v>0</v>
      </c>
      <c r="AE15" s="39"/>
      <c r="AF15" s="39"/>
      <c r="AG15" s="39"/>
      <c r="AH15" s="39"/>
      <c r="AI15" s="39"/>
      <c r="AJ15" s="39">
        <f t="shared" si="3"/>
        <v>0</v>
      </c>
      <c r="AK15" s="39">
        <f t="shared" si="4"/>
        <v>0</v>
      </c>
      <c r="AL15" s="39">
        <f t="shared" si="4"/>
        <v>0</v>
      </c>
      <c r="AM15" s="39">
        <f t="shared" si="4"/>
        <v>0</v>
      </c>
      <c r="AN15" s="39">
        <f t="shared" si="4"/>
        <v>0</v>
      </c>
      <c r="AO15" s="39">
        <f t="shared" si="4"/>
        <v>0</v>
      </c>
      <c r="AP15" s="336">
        <f t="shared" si="5"/>
        <v>0</v>
      </c>
      <c r="AQ15" s="21"/>
      <c r="AR15" s="21"/>
      <c r="AS15" s="21"/>
      <c r="AT15" s="21"/>
      <c r="AU15" s="21"/>
      <c r="AV15" s="21"/>
    </row>
    <row r="16" spans="1:48">
      <c r="A16" s="6"/>
      <c r="B16" s="4"/>
      <c r="C16" s="4"/>
      <c r="D16" s="10"/>
      <c r="E16" s="10"/>
      <c r="F16" s="10"/>
      <c r="G16" s="10"/>
      <c r="H16" s="10"/>
      <c r="I16" s="10"/>
      <c r="J16" s="10"/>
      <c r="K16" s="10"/>
      <c r="L16" s="38"/>
      <c r="M16" s="39"/>
      <c r="N16" s="39"/>
      <c r="O16" s="39"/>
      <c r="P16" s="39"/>
      <c r="Q16" s="39"/>
      <c r="R16" s="39">
        <f t="shared" si="0"/>
        <v>0</v>
      </c>
      <c r="S16" s="39"/>
      <c r="T16" s="39"/>
      <c r="U16" s="39"/>
      <c r="V16" s="39"/>
      <c r="W16" s="39"/>
      <c r="X16" s="39">
        <f t="shared" si="1"/>
        <v>0</v>
      </c>
      <c r="Y16" s="39"/>
      <c r="Z16" s="39"/>
      <c r="AA16" s="39"/>
      <c r="AB16" s="39"/>
      <c r="AC16" s="39"/>
      <c r="AD16" s="39">
        <f t="shared" si="2"/>
        <v>0</v>
      </c>
      <c r="AE16" s="39"/>
      <c r="AF16" s="39"/>
      <c r="AG16" s="39"/>
      <c r="AH16" s="39"/>
      <c r="AI16" s="39"/>
      <c r="AJ16" s="39">
        <f t="shared" si="3"/>
        <v>0</v>
      </c>
      <c r="AK16" s="39">
        <f t="shared" si="4"/>
        <v>0</v>
      </c>
      <c r="AL16" s="39">
        <f t="shared" si="4"/>
        <v>0</v>
      </c>
      <c r="AM16" s="39">
        <f t="shared" si="4"/>
        <v>0</v>
      </c>
      <c r="AN16" s="39">
        <f t="shared" si="4"/>
        <v>0</v>
      </c>
      <c r="AO16" s="39">
        <f t="shared" si="4"/>
        <v>0</v>
      </c>
      <c r="AP16" s="336">
        <f t="shared" si="5"/>
        <v>0</v>
      </c>
      <c r="AQ16" s="21"/>
      <c r="AR16" s="21"/>
      <c r="AS16" s="21"/>
      <c r="AT16" s="21"/>
      <c r="AU16" s="21"/>
      <c r="AV16" s="21"/>
    </row>
    <row r="17" spans="1:48" ht="25.5">
      <c r="A17" s="14" t="s">
        <v>170</v>
      </c>
      <c r="B17" s="4"/>
      <c r="C17" s="4"/>
      <c r="D17" s="10"/>
      <c r="E17" s="10"/>
      <c r="F17" s="10"/>
      <c r="G17" s="10"/>
      <c r="H17" s="10"/>
      <c r="I17" s="10"/>
      <c r="J17" s="10"/>
      <c r="K17" s="10"/>
      <c r="L17" s="38"/>
      <c r="M17" s="39"/>
      <c r="N17" s="39"/>
      <c r="O17" s="39"/>
      <c r="P17" s="39"/>
      <c r="Q17" s="39"/>
      <c r="R17" s="39">
        <f t="shared" si="0"/>
        <v>0</v>
      </c>
      <c r="S17" s="39" t="s">
        <v>3</v>
      </c>
      <c r="T17" s="39"/>
      <c r="U17" s="39"/>
      <c r="V17" s="39"/>
      <c r="W17" s="39"/>
      <c r="X17" s="39">
        <f t="shared" si="1"/>
        <v>0</v>
      </c>
      <c r="Y17" s="39"/>
      <c r="Z17" s="39"/>
      <c r="AA17" s="39"/>
      <c r="AB17" s="39"/>
      <c r="AC17" s="39"/>
      <c r="AD17" s="39">
        <f t="shared" si="2"/>
        <v>0</v>
      </c>
      <c r="AE17" s="39"/>
      <c r="AF17" s="39"/>
      <c r="AG17" s="39"/>
      <c r="AH17" s="39"/>
      <c r="AI17" s="39"/>
      <c r="AJ17" s="39">
        <f t="shared" si="3"/>
        <v>0</v>
      </c>
      <c r="AK17" s="39">
        <v>0</v>
      </c>
      <c r="AL17" s="39">
        <f t="shared" si="4"/>
        <v>0</v>
      </c>
      <c r="AM17" s="39">
        <f t="shared" si="4"/>
        <v>0</v>
      </c>
      <c r="AN17" s="39">
        <f t="shared" si="4"/>
        <v>0</v>
      </c>
      <c r="AO17" s="39">
        <f t="shared" si="4"/>
        <v>0</v>
      </c>
      <c r="AP17" s="336">
        <f t="shared" si="5"/>
        <v>0</v>
      </c>
      <c r="AQ17" s="21"/>
      <c r="AR17" s="21"/>
      <c r="AS17" s="21"/>
      <c r="AT17" s="21"/>
      <c r="AU17" s="21"/>
      <c r="AV17" s="21"/>
    </row>
    <row r="18" spans="1:48" s="79" customFormat="1" ht="25.5">
      <c r="A18" s="23" t="s">
        <v>171</v>
      </c>
      <c r="B18" s="15">
        <v>2</v>
      </c>
      <c r="C18" s="15">
        <v>95</v>
      </c>
      <c r="D18" s="15" t="s">
        <v>164</v>
      </c>
      <c r="E18" s="6" t="s">
        <v>172</v>
      </c>
      <c r="F18" s="15" t="s">
        <v>18</v>
      </c>
      <c r="G18" s="6"/>
      <c r="H18" s="15" t="s">
        <v>165</v>
      </c>
      <c r="I18" s="15" t="s">
        <v>182</v>
      </c>
      <c r="J18" s="15"/>
      <c r="K18" s="378" t="s">
        <v>550</v>
      </c>
      <c r="L18" s="89"/>
      <c r="M18" s="90">
        <f>10772495</f>
        <v>10772495</v>
      </c>
      <c r="N18" s="90"/>
      <c r="O18" s="90"/>
      <c r="P18" s="90"/>
      <c r="Q18" s="90"/>
      <c r="R18" s="90">
        <f t="shared" si="0"/>
        <v>10772495</v>
      </c>
      <c r="S18" s="90">
        <f>1220000+1930000+5890000+4270000</f>
        <v>13310000</v>
      </c>
      <c r="T18" s="90"/>
      <c r="U18" s="90"/>
      <c r="V18" s="90"/>
      <c r="W18" s="90"/>
      <c r="X18" s="90">
        <f t="shared" si="1"/>
        <v>13310000</v>
      </c>
      <c r="Y18" s="90">
        <f>3000000+410000+5510000+5000000</f>
        <v>13920000</v>
      </c>
      <c r="Z18" s="90"/>
      <c r="AA18" s="90"/>
      <c r="AB18" s="90"/>
      <c r="AC18" s="90"/>
      <c r="AD18" s="90">
        <f t="shared" si="2"/>
        <v>13920000</v>
      </c>
      <c r="AE18" s="90">
        <f>2740000+460000+1500000+5000000</f>
        <v>9700000</v>
      </c>
      <c r="AF18" s="90"/>
      <c r="AG18" s="90"/>
      <c r="AH18" s="90"/>
      <c r="AI18" s="90"/>
      <c r="AJ18" s="90">
        <f t="shared" si="3"/>
        <v>9700000</v>
      </c>
      <c r="AK18" s="90">
        <f t="shared" si="4"/>
        <v>47702495</v>
      </c>
      <c r="AL18" s="90">
        <f t="shared" si="4"/>
        <v>0</v>
      </c>
      <c r="AM18" s="90">
        <f t="shared" si="4"/>
        <v>0</v>
      </c>
      <c r="AN18" s="90">
        <f t="shared" si="4"/>
        <v>0</v>
      </c>
      <c r="AO18" s="90">
        <f t="shared" si="4"/>
        <v>0</v>
      </c>
      <c r="AP18" s="337">
        <f t="shared" si="5"/>
        <v>47702495</v>
      </c>
      <c r="AQ18" s="23"/>
      <c r="AR18" s="23"/>
      <c r="AS18" s="23"/>
      <c r="AT18" s="23"/>
      <c r="AU18" s="23"/>
      <c r="AV18" s="23"/>
    </row>
    <row r="19" spans="1:48">
      <c r="A19" s="6"/>
      <c r="B19" s="4"/>
      <c r="C19" s="4"/>
      <c r="D19" s="10"/>
      <c r="E19" s="10"/>
      <c r="F19" s="10"/>
      <c r="G19" s="10"/>
      <c r="H19" s="10"/>
      <c r="I19" s="10"/>
      <c r="J19" s="10"/>
      <c r="K19" s="10"/>
      <c r="L19" s="38"/>
      <c r="M19" s="39"/>
      <c r="N19" s="39"/>
      <c r="O19" s="39"/>
      <c r="P19" s="39"/>
      <c r="Q19" s="39"/>
      <c r="R19" s="39">
        <f t="shared" si="0"/>
        <v>0</v>
      </c>
      <c r="S19" s="39"/>
      <c r="T19" s="39"/>
      <c r="U19" s="39"/>
      <c r="V19" s="39"/>
      <c r="W19" s="39"/>
      <c r="X19" s="39">
        <f t="shared" si="1"/>
        <v>0</v>
      </c>
      <c r="Y19" s="39"/>
      <c r="Z19" s="39"/>
      <c r="AA19" s="39"/>
      <c r="AB19" s="39"/>
      <c r="AC19" s="39"/>
      <c r="AD19" s="39">
        <f t="shared" si="2"/>
        <v>0</v>
      </c>
      <c r="AE19" s="39"/>
      <c r="AF19" s="39"/>
      <c r="AG19" s="39"/>
      <c r="AH19" s="39"/>
      <c r="AI19" s="39"/>
      <c r="AJ19" s="39">
        <f t="shared" si="3"/>
        <v>0</v>
      </c>
      <c r="AK19" s="39">
        <f t="shared" si="4"/>
        <v>0</v>
      </c>
      <c r="AL19" s="39">
        <f t="shared" si="4"/>
        <v>0</v>
      </c>
      <c r="AM19" s="39">
        <f t="shared" si="4"/>
        <v>0</v>
      </c>
      <c r="AN19" s="39">
        <f t="shared" si="4"/>
        <v>0</v>
      </c>
      <c r="AO19" s="39">
        <f t="shared" si="4"/>
        <v>0</v>
      </c>
      <c r="AP19" s="336">
        <f t="shared" si="5"/>
        <v>0</v>
      </c>
      <c r="AQ19" s="21"/>
      <c r="AR19" s="21"/>
      <c r="AS19" s="21"/>
      <c r="AT19" s="21"/>
      <c r="AU19" s="21"/>
      <c r="AV19" s="21"/>
    </row>
    <row r="20" spans="1:48" ht="25.5">
      <c r="A20" s="6" t="s">
        <v>173</v>
      </c>
      <c r="B20" s="4">
        <v>5</v>
      </c>
      <c r="C20" s="4">
        <v>85</v>
      </c>
      <c r="D20" s="4" t="s">
        <v>164</v>
      </c>
      <c r="E20" s="10" t="s">
        <v>174</v>
      </c>
      <c r="F20" s="4" t="s">
        <v>18</v>
      </c>
      <c r="G20" s="10"/>
      <c r="H20" s="4" t="s">
        <v>165</v>
      </c>
      <c r="I20" s="4" t="s">
        <v>182</v>
      </c>
      <c r="J20" s="4"/>
      <c r="K20" s="378" t="s">
        <v>544</v>
      </c>
      <c r="L20" s="38"/>
      <c r="M20" s="39">
        <v>1949783</v>
      </c>
      <c r="N20" s="39"/>
      <c r="O20" s="39"/>
      <c r="P20" s="39"/>
      <c r="Q20" s="39"/>
      <c r="R20" s="39">
        <f t="shared" si="0"/>
        <v>1949783</v>
      </c>
      <c r="S20" s="39">
        <f>1100000+1700000</f>
        <v>2800000</v>
      </c>
      <c r="T20" s="39"/>
      <c r="U20" s="39"/>
      <c r="V20" s="39"/>
      <c r="W20" s="39"/>
      <c r="X20" s="39">
        <f t="shared" si="1"/>
        <v>2800000</v>
      </c>
      <c r="Y20" s="39">
        <f>1200000+3740000</f>
        <v>4940000</v>
      </c>
      <c r="Z20" s="39"/>
      <c r="AA20" s="39"/>
      <c r="AB20" s="39"/>
      <c r="AC20" s="39"/>
      <c r="AD20" s="39">
        <f t="shared" si="2"/>
        <v>4940000</v>
      </c>
      <c r="AE20" s="39">
        <f>1300000+5370000</f>
        <v>6670000</v>
      </c>
      <c r="AF20" s="39"/>
      <c r="AG20" s="39"/>
      <c r="AH20" s="39"/>
      <c r="AI20" s="39"/>
      <c r="AJ20" s="39">
        <f t="shared" si="3"/>
        <v>6670000</v>
      </c>
      <c r="AK20" s="39">
        <f t="shared" si="4"/>
        <v>16359783</v>
      </c>
      <c r="AL20" s="39">
        <f t="shared" si="4"/>
        <v>0</v>
      </c>
      <c r="AM20" s="39">
        <f t="shared" si="4"/>
        <v>0</v>
      </c>
      <c r="AN20" s="39">
        <f t="shared" si="4"/>
        <v>0</v>
      </c>
      <c r="AO20" s="39">
        <f t="shared" si="4"/>
        <v>0</v>
      </c>
      <c r="AP20" s="336">
        <f t="shared" si="5"/>
        <v>16359783</v>
      </c>
      <c r="AQ20" s="21"/>
      <c r="AR20" s="21"/>
      <c r="AS20" s="21"/>
      <c r="AT20" s="21"/>
      <c r="AU20" s="21"/>
      <c r="AV20" s="21"/>
    </row>
    <row r="21" spans="1:48">
      <c r="A21" s="6"/>
      <c r="B21" s="4"/>
      <c r="C21" s="4"/>
      <c r="D21" s="4"/>
      <c r="E21" s="10"/>
      <c r="F21" s="4"/>
      <c r="G21" s="10"/>
      <c r="H21" s="4"/>
      <c r="I21" s="4"/>
      <c r="J21" s="4"/>
      <c r="K21" s="10"/>
      <c r="L21" s="38"/>
      <c r="M21" s="39"/>
      <c r="N21" s="39"/>
      <c r="O21" s="39"/>
      <c r="P21" s="39"/>
      <c r="Q21" s="39"/>
      <c r="R21" s="39">
        <f t="shared" si="0"/>
        <v>0</v>
      </c>
      <c r="S21" s="39"/>
      <c r="T21" s="39"/>
      <c r="U21" s="39"/>
      <c r="V21" s="39"/>
      <c r="W21" s="39"/>
      <c r="X21" s="39">
        <f t="shared" si="1"/>
        <v>0</v>
      </c>
      <c r="Y21" s="39"/>
      <c r="Z21" s="39"/>
      <c r="AA21" s="39"/>
      <c r="AB21" s="39"/>
      <c r="AC21" s="39"/>
      <c r="AD21" s="39">
        <f t="shared" si="2"/>
        <v>0</v>
      </c>
      <c r="AE21" s="39"/>
      <c r="AF21" s="39"/>
      <c r="AG21" s="39"/>
      <c r="AH21" s="39"/>
      <c r="AI21" s="39"/>
      <c r="AJ21" s="39">
        <f t="shared" si="3"/>
        <v>0</v>
      </c>
      <c r="AK21" s="39">
        <f t="shared" si="4"/>
        <v>0</v>
      </c>
      <c r="AL21" s="39"/>
      <c r="AM21" s="39"/>
      <c r="AN21" s="39"/>
      <c r="AO21" s="39"/>
      <c r="AP21" s="336">
        <f t="shared" si="5"/>
        <v>0</v>
      </c>
      <c r="AQ21" s="21"/>
      <c r="AR21" s="21"/>
      <c r="AS21" s="21"/>
      <c r="AT21" s="21"/>
      <c r="AU21" s="21"/>
      <c r="AV21" s="21"/>
    </row>
    <row r="22" spans="1:48" s="79" customFormat="1" ht="28.5" customHeight="1">
      <c r="A22" s="6" t="s">
        <v>583</v>
      </c>
      <c r="B22" s="15"/>
      <c r="C22" s="15"/>
      <c r="D22" s="15"/>
      <c r="E22" s="6"/>
      <c r="F22" s="15"/>
      <c r="G22" s="6"/>
      <c r="H22" s="15"/>
      <c r="I22" s="15"/>
      <c r="J22" s="15"/>
      <c r="K22" s="6"/>
      <c r="L22" s="89"/>
      <c r="M22" s="90">
        <v>70000</v>
      </c>
      <c r="N22" s="90"/>
      <c r="O22" s="90"/>
      <c r="P22" s="90"/>
      <c r="Q22" s="90"/>
      <c r="R22" s="90">
        <f t="shared" si="0"/>
        <v>70000</v>
      </c>
      <c r="S22" s="90">
        <v>125000</v>
      </c>
      <c r="T22" s="90"/>
      <c r="U22" s="90"/>
      <c r="V22" s="90"/>
      <c r="W22" s="90"/>
      <c r="X22" s="90">
        <f t="shared" si="1"/>
        <v>125000</v>
      </c>
      <c r="Y22" s="90">
        <v>160000</v>
      </c>
      <c r="Z22" s="90"/>
      <c r="AA22" s="90"/>
      <c r="AB22" s="90"/>
      <c r="AC22" s="90"/>
      <c r="AD22" s="90">
        <f t="shared" si="2"/>
        <v>160000</v>
      </c>
      <c r="AE22" s="90">
        <v>185000</v>
      </c>
      <c r="AF22" s="90"/>
      <c r="AG22" s="90"/>
      <c r="AH22" s="90"/>
      <c r="AI22" s="90"/>
      <c r="AJ22" s="90">
        <f t="shared" si="3"/>
        <v>185000</v>
      </c>
      <c r="AK22" s="90">
        <f t="shared" si="4"/>
        <v>540000</v>
      </c>
      <c r="AL22" s="90"/>
      <c r="AM22" s="90"/>
      <c r="AN22" s="90"/>
      <c r="AO22" s="90"/>
      <c r="AP22" s="337">
        <f t="shared" si="5"/>
        <v>540000</v>
      </c>
      <c r="AQ22" s="23"/>
      <c r="AR22" s="23"/>
      <c r="AS22" s="23"/>
      <c r="AT22" s="23"/>
      <c r="AU22" s="23"/>
      <c r="AV22" s="23"/>
    </row>
    <row r="23" spans="1:48">
      <c r="A23" s="6"/>
      <c r="B23" s="4"/>
      <c r="C23" s="4"/>
      <c r="D23" s="10"/>
      <c r="E23" s="10"/>
      <c r="F23" s="10"/>
      <c r="G23" s="10"/>
      <c r="H23" s="10"/>
      <c r="I23" s="10"/>
      <c r="J23" s="10"/>
      <c r="K23" s="10"/>
      <c r="L23" s="38"/>
      <c r="M23" s="39"/>
      <c r="N23" s="39"/>
      <c r="O23" s="39"/>
      <c r="P23" s="39"/>
      <c r="Q23" s="39"/>
      <c r="R23" s="39">
        <f t="shared" si="0"/>
        <v>0</v>
      </c>
      <c r="S23" s="39"/>
      <c r="T23" s="39"/>
      <c r="U23" s="39"/>
      <c r="V23" s="39"/>
      <c r="W23" s="39"/>
      <c r="X23" s="39">
        <f t="shared" si="1"/>
        <v>0</v>
      </c>
      <c r="Y23" s="39"/>
      <c r="Z23" s="39"/>
      <c r="AA23" s="39"/>
      <c r="AB23" s="39"/>
      <c r="AC23" s="39"/>
      <c r="AD23" s="39">
        <f t="shared" si="2"/>
        <v>0</v>
      </c>
      <c r="AE23" s="39"/>
      <c r="AF23" s="39"/>
      <c r="AG23" s="39"/>
      <c r="AH23" s="39"/>
      <c r="AI23" s="39"/>
      <c r="AJ23" s="39">
        <f t="shared" si="3"/>
        <v>0</v>
      </c>
      <c r="AK23" s="39">
        <f t="shared" si="4"/>
        <v>0</v>
      </c>
      <c r="AL23" s="39">
        <f t="shared" si="4"/>
        <v>0</v>
      </c>
      <c r="AM23" s="39">
        <f t="shared" si="4"/>
        <v>0</v>
      </c>
      <c r="AN23" s="39">
        <f t="shared" si="4"/>
        <v>0</v>
      </c>
      <c r="AO23" s="39">
        <f t="shared" si="4"/>
        <v>0</v>
      </c>
      <c r="AP23" s="336">
        <f t="shared" si="5"/>
        <v>0</v>
      </c>
      <c r="AQ23" s="21"/>
      <c r="AR23" s="21"/>
      <c r="AS23" s="21"/>
      <c r="AT23" s="21"/>
      <c r="AU23" s="21"/>
      <c r="AV23" s="21"/>
    </row>
    <row r="24" spans="1:48" ht="89.25">
      <c r="A24" s="6" t="s">
        <v>446</v>
      </c>
      <c r="B24" s="4">
        <v>5</v>
      </c>
      <c r="C24" s="4">
        <v>85</v>
      </c>
      <c r="D24" s="4" t="s">
        <v>164</v>
      </c>
      <c r="E24" s="10" t="s">
        <v>175</v>
      </c>
      <c r="F24" s="4" t="s">
        <v>18</v>
      </c>
      <c r="G24" s="10"/>
      <c r="H24" s="4" t="s">
        <v>165</v>
      </c>
      <c r="I24" s="4" t="s">
        <v>182</v>
      </c>
      <c r="J24" s="4"/>
      <c r="K24" s="379" t="s">
        <v>545</v>
      </c>
      <c r="L24" s="38"/>
      <c r="M24" s="39">
        <v>1021023</v>
      </c>
      <c r="N24" s="39"/>
      <c r="O24" s="39"/>
      <c r="P24" s="39"/>
      <c r="Q24" s="39"/>
      <c r="R24" s="39">
        <f t="shared" si="0"/>
        <v>1021023</v>
      </c>
      <c r="S24" s="39">
        <v>1070182</v>
      </c>
      <c r="T24" s="39"/>
      <c r="U24" s="39"/>
      <c r="V24" s="39"/>
      <c r="W24" s="39"/>
      <c r="X24" s="39">
        <f t="shared" si="1"/>
        <v>1070182</v>
      </c>
      <c r="Y24" s="39">
        <v>1279059</v>
      </c>
      <c r="Z24" s="39"/>
      <c r="AA24" s="39"/>
      <c r="AB24" s="39"/>
      <c r="AC24" s="39"/>
      <c r="AD24" s="39">
        <f t="shared" si="2"/>
        <v>1279059</v>
      </c>
      <c r="AE24" s="39">
        <v>1304640</v>
      </c>
      <c r="AF24" s="39"/>
      <c r="AG24" s="39"/>
      <c r="AH24" s="39"/>
      <c r="AI24" s="39"/>
      <c r="AJ24" s="39">
        <f t="shared" si="3"/>
        <v>1304640</v>
      </c>
      <c r="AK24" s="39">
        <f t="shared" si="4"/>
        <v>4674904</v>
      </c>
      <c r="AL24" s="39">
        <f t="shared" si="4"/>
        <v>0</v>
      </c>
      <c r="AM24" s="39">
        <f t="shared" si="4"/>
        <v>0</v>
      </c>
      <c r="AN24" s="39">
        <f t="shared" si="4"/>
        <v>0</v>
      </c>
      <c r="AO24" s="39">
        <f t="shared" si="4"/>
        <v>0</v>
      </c>
      <c r="AP24" s="336">
        <f t="shared" si="5"/>
        <v>4674904</v>
      </c>
      <c r="AQ24" s="21"/>
      <c r="AR24" s="21"/>
      <c r="AS24" s="21"/>
      <c r="AT24" s="21"/>
      <c r="AU24" s="21"/>
      <c r="AV24" s="21"/>
    </row>
    <row r="25" spans="1:48">
      <c r="A25" s="6"/>
      <c r="B25" s="4"/>
      <c r="C25" s="4"/>
      <c r="D25" s="10"/>
      <c r="E25" s="10"/>
      <c r="F25" s="10"/>
      <c r="G25" s="10"/>
      <c r="H25" s="10"/>
      <c r="I25" s="10"/>
      <c r="J25" s="10"/>
      <c r="K25" s="10"/>
      <c r="L25" s="38"/>
      <c r="M25" s="39"/>
      <c r="N25" s="39"/>
      <c r="O25" s="39"/>
      <c r="P25" s="39"/>
      <c r="Q25" s="39"/>
      <c r="R25" s="39">
        <f t="shared" si="0"/>
        <v>0</v>
      </c>
      <c r="S25" s="39"/>
      <c r="T25" s="39"/>
      <c r="U25" s="39"/>
      <c r="V25" s="39"/>
      <c r="W25" s="39"/>
      <c r="X25" s="39">
        <f t="shared" si="1"/>
        <v>0</v>
      </c>
      <c r="Y25" s="39"/>
      <c r="Z25" s="39"/>
      <c r="AA25" s="39"/>
      <c r="AB25" s="39"/>
      <c r="AC25" s="39"/>
      <c r="AD25" s="39">
        <f t="shared" si="2"/>
        <v>0</v>
      </c>
      <c r="AE25" s="39"/>
      <c r="AF25" s="39"/>
      <c r="AG25" s="39"/>
      <c r="AH25" s="39"/>
      <c r="AI25" s="39"/>
      <c r="AJ25" s="39">
        <f t="shared" si="3"/>
        <v>0</v>
      </c>
      <c r="AK25" s="39">
        <f t="shared" ref="AK25:AO39" si="6">M25+S25+Y25+AE25</f>
        <v>0</v>
      </c>
      <c r="AL25" s="39">
        <f t="shared" si="6"/>
        <v>0</v>
      </c>
      <c r="AM25" s="39">
        <f t="shared" si="6"/>
        <v>0</v>
      </c>
      <c r="AN25" s="39">
        <f t="shared" si="6"/>
        <v>0</v>
      </c>
      <c r="AO25" s="39">
        <f t="shared" si="6"/>
        <v>0</v>
      </c>
      <c r="AP25" s="336">
        <f t="shared" si="5"/>
        <v>0</v>
      </c>
      <c r="AQ25" s="21"/>
      <c r="AR25" s="21"/>
      <c r="AS25" s="21"/>
      <c r="AT25" s="21"/>
      <c r="AU25" s="21"/>
      <c r="AV25" s="21"/>
    </row>
    <row r="26" spans="1:48" ht="51">
      <c r="A26" s="6" t="s">
        <v>482</v>
      </c>
      <c r="B26" s="4">
        <v>5</v>
      </c>
      <c r="C26" s="4">
        <v>85</v>
      </c>
      <c r="D26" s="4" t="s">
        <v>164</v>
      </c>
      <c r="E26" s="10" t="s">
        <v>176</v>
      </c>
      <c r="F26" s="4" t="s">
        <v>18</v>
      </c>
      <c r="G26" s="10"/>
      <c r="H26" s="4" t="s">
        <v>165</v>
      </c>
      <c r="I26" s="4" t="s">
        <v>182</v>
      </c>
      <c r="J26" s="4"/>
      <c r="K26" s="380" t="s">
        <v>546</v>
      </c>
      <c r="L26" s="38"/>
      <c r="M26" s="39">
        <v>321951</v>
      </c>
      <c r="N26" s="39"/>
      <c r="O26" s="39"/>
      <c r="P26" s="39"/>
      <c r="Q26" s="39"/>
      <c r="R26" s="39">
        <f t="shared" si="0"/>
        <v>321951</v>
      </c>
      <c r="S26" s="39">
        <f>300000</f>
        <v>300000</v>
      </c>
      <c r="T26" s="39"/>
      <c r="U26" s="39"/>
      <c r="V26" s="39"/>
      <c r="W26" s="39"/>
      <c r="X26" s="39">
        <f t="shared" si="1"/>
        <v>300000</v>
      </c>
      <c r="Y26" s="39">
        <f>770000</f>
        <v>770000</v>
      </c>
      <c r="Z26" s="39"/>
      <c r="AA26" s="39"/>
      <c r="AB26" s="39"/>
      <c r="AC26" s="39"/>
      <c r="AD26" s="39">
        <f t="shared" si="2"/>
        <v>770000</v>
      </c>
      <c r="AE26" s="39">
        <v>810000</v>
      </c>
      <c r="AF26" s="39"/>
      <c r="AG26" s="39"/>
      <c r="AH26" s="39"/>
      <c r="AI26" s="39"/>
      <c r="AJ26" s="39">
        <f t="shared" si="3"/>
        <v>810000</v>
      </c>
      <c r="AK26" s="39">
        <f t="shared" si="6"/>
        <v>2201951</v>
      </c>
      <c r="AL26" s="39">
        <f t="shared" si="6"/>
        <v>0</v>
      </c>
      <c r="AM26" s="39">
        <f t="shared" si="6"/>
        <v>0</v>
      </c>
      <c r="AN26" s="39">
        <f t="shared" si="6"/>
        <v>0</v>
      </c>
      <c r="AO26" s="39">
        <f t="shared" si="6"/>
        <v>0</v>
      </c>
      <c r="AP26" s="336">
        <f t="shared" si="5"/>
        <v>2201951</v>
      </c>
      <c r="AQ26" s="21"/>
      <c r="AR26" s="21"/>
      <c r="AS26" s="21"/>
      <c r="AT26" s="21"/>
      <c r="AU26" s="21"/>
      <c r="AV26" s="21"/>
    </row>
    <row r="27" spans="1:48">
      <c r="A27" s="6"/>
      <c r="B27" s="4"/>
      <c r="C27" s="4"/>
      <c r="D27" s="4"/>
      <c r="E27" s="10"/>
      <c r="F27" s="4"/>
      <c r="G27" s="10"/>
      <c r="H27" s="4"/>
      <c r="I27" s="4"/>
      <c r="J27" s="4"/>
      <c r="K27" s="10"/>
      <c r="L27" s="38"/>
      <c r="M27" s="39"/>
      <c r="N27" s="39"/>
      <c r="O27" s="39"/>
      <c r="P27" s="39"/>
      <c r="Q27" s="39"/>
      <c r="R27" s="39">
        <f t="shared" si="0"/>
        <v>0</v>
      </c>
      <c r="S27" s="39"/>
      <c r="T27" s="39"/>
      <c r="U27" s="39"/>
      <c r="V27" s="39"/>
      <c r="W27" s="39"/>
      <c r="X27" s="39">
        <f t="shared" si="1"/>
        <v>0</v>
      </c>
      <c r="Y27" s="39"/>
      <c r="Z27" s="39"/>
      <c r="AA27" s="39"/>
      <c r="AB27" s="39"/>
      <c r="AC27" s="39"/>
      <c r="AD27" s="39">
        <f t="shared" si="2"/>
        <v>0</v>
      </c>
      <c r="AE27" s="39"/>
      <c r="AF27" s="39"/>
      <c r="AG27" s="39"/>
      <c r="AH27" s="39"/>
      <c r="AI27" s="39"/>
      <c r="AJ27" s="39">
        <f t="shared" si="3"/>
        <v>0</v>
      </c>
      <c r="AK27" s="39">
        <f t="shared" si="6"/>
        <v>0</v>
      </c>
      <c r="AL27" s="39">
        <f t="shared" si="6"/>
        <v>0</v>
      </c>
      <c r="AM27" s="39">
        <f t="shared" si="6"/>
        <v>0</v>
      </c>
      <c r="AN27" s="39">
        <f t="shared" si="6"/>
        <v>0</v>
      </c>
      <c r="AO27" s="39">
        <f t="shared" si="6"/>
        <v>0</v>
      </c>
      <c r="AP27" s="336">
        <f t="shared" si="5"/>
        <v>0</v>
      </c>
      <c r="AQ27" s="21"/>
      <c r="AR27" s="21"/>
      <c r="AS27" s="21"/>
      <c r="AT27" s="21"/>
      <c r="AU27" s="21"/>
      <c r="AV27" s="21"/>
    </row>
    <row r="28" spans="1:48" s="79" customFormat="1" ht="76.5">
      <c r="A28" s="6" t="s">
        <v>481</v>
      </c>
      <c r="B28" s="15">
        <v>5</v>
      </c>
      <c r="C28" s="15">
        <v>85</v>
      </c>
      <c r="D28" s="15" t="s">
        <v>164</v>
      </c>
      <c r="E28" s="6" t="s">
        <v>242</v>
      </c>
      <c r="F28" s="15" t="s">
        <v>18</v>
      </c>
      <c r="G28" s="6"/>
      <c r="H28" s="15" t="s">
        <v>165</v>
      </c>
      <c r="I28" s="15" t="s">
        <v>182</v>
      </c>
      <c r="J28" s="15"/>
      <c r="K28" s="379" t="s">
        <v>547</v>
      </c>
      <c r="L28" s="89"/>
      <c r="M28" s="90">
        <f>570443</f>
        <v>570443</v>
      </c>
      <c r="N28" s="90"/>
      <c r="O28" s="90"/>
      <c r="P28" s="90"/>
      <c r="Q28" s="90"/>
      <c r="R28" s="90">
        <f t="shared" si="0"/>
        <v>570443</v>
      </c>
      <c r="S28" s="90">
        <f>270000+202000</f>
        <v>472000</v>
      </c>
      <c r="T28" s="90"/>
      <c r="U28" s="90"/>
      <c r="V28" s="90"/>
      <c r="W28" s="90"/>
      <c r="X28" s="90">
        <f t="shared" si="1"/>
        <v>472000</v>
      </c>
      <c r="Y28" s="90">
        <f>228000+600000</f>
        <v>828000</v>
      </c>
      <c r="Z28" s="90"/>
      <c r="AA28" s="90"/>
      <c r="AB28" s="90"/>
      <c r="AC28" s="90"/>
      <c r="AD28" s="90">
        <f t="shared" si="2"/>
        <v>828000</v>
      </c>
      <c r="AE28" s="90">
        <f>251000+644000</f>
        <v>895000</v>
      </c>
      <c r="AF28" s="90"/>
      <c r="AG28" s="90"/>
      <c r="AH28" s="90"/>
      <c r="AI28" s="90"/>
      <c r="AJ28" s="90">
        <f t="shared" si="3"/>
        <v>895000</v>
      </c>
      <c r="AK28" s="90">
        <f t="shared" si="6"/>
        <v>2765443</v>
      </c>
      <c r="AL28" s="90">
        <f t="shared" si="6"/>
        <v>0</v>
      </c>
      <c r="AM28" s="90">
        <f t="shared" si="6"/>
        <v>0</v>
      </c>
      <c r="AN28" s="90">
        <f t="shared" si="6"/>
        <v>0</v>
      </c>
      <c r="AO28" s="90">
        <f t="shared" si="6"/>
        <v>0</v>
      </c>
      <c r="AP28" s="337">
        <f t="shared" si="5"/>
        <v>2765443</v>
      </c>
      <c r="AQ28" s="23"/>
      <c r="AR28" s="23"/>
      <c r="AS28" s="23"/>
      <c r="AT28" s="23"/>
      <c r="AU28" s="23"/>
      <c r="AV28" s="23"/>
    </row>
    <row r="29" spans="1:48">
      <c r="A29" s="6"/>
      <c r="B29" s="4"/>
      <c r="C29" s="4"/>
      <c r="D29" s="10"/>
      <c r="E29" s="10"/>
      <c r="F29" s="10"/>
      <c r="G29" s="10"/>
      <c r="H29" s="10"/>
      <c r="I29" s="10"/>
      <c r="J29" s="10"/>
      <c r="K29" s="10"/>
      <c r="L29" s="38"/>
      <c r="M29" s="39"/>
      <c r="N29" s="39"/>
      <c r="O29" s="39"/>
      <c r="P29" s="39"/>
      <c r="Q29" s="39"/>
      <c r="R29" s="39">
        <f t="shared" si="0"/>
        <v>0</v>
      </c>
      <c r="S29" s="39"/>
      <c r="T29" s="39"/>
      <c r="U29" s="39"/>
      <c r="V29" s="39"/>
      <c r="W29" s="39"/>
      <c r="X29" s="39">
        <f t="shared" si="1"/>
        <v>0</v>
      </c>
      <c r="Y29" s="39"/>
      <c r="Z29" s="39"/>
      <c r="AA29" s="39"/>
      <c r="AB29" s="39"/>
      <c r="AC29" s="39"/>
      <c r="AD29" s="39">
        <f t="shared" si="2"/>
        <v>0</v>
      </c>
      <c r="AE29" s="39"/>
      <c r="AF29" s="39"/>
      <c r="AG29" s="39"/>
      <c r="AH29" s="39"/>
      <c r="AI29" s="39"/>
      <c r="AJ29" s="39">
        <f t="shared" si="3"/>
        <v>0</v>
      </c>
      <c r="AK29" s="39">
        <f t="shared" si="6"/>
        <v>0</v>
      </c>
      <c r="AL29" s="39">
        <f t="shared" si="6"/>
        <v>0</v>
      </c>
      <c r="AM29" s="39">
        <f t="shared" si="6"/>
        <v>0</v>
      </c>
      <c r="AN29" s="39">
        <f t="shared" si="6"/>
        <v>0</v>
      </c>
      <c r="AO29" s="39">
        <f t="shared" si="6"/>
        <v>0</v>
      </c>
      <c r="AP29" s="336">
        <f t="shared" si="5"/>
        <v>0</v>
      </c>
      <c r="AQ29" s="21"/>
      <c r="AR29" s="21"/>
      <c r="AS29" s="21"/>
      <c r="AT29" s="21"/>
      <c r="AU29" s="21"/>
      <c r="AV29" s="21"/>
    </row>
    <row r="30" spans="1:48" ht="102">
      <c r="A30" s="6" t="s">
        <v>243</v>
      </c>
      <c r="B30" s="4">
        <v>1</v>
      </c>
      <c r="C30" s="4">
        <v>100</v>
      </c>
      <c r="D30" s="4" t="s">
        <v>164</v>
      </c>
      <c r="E30" s="10" t="s">
        <v>177</v>
      </c>
      <c r="F30" s="4" t="s">
        <v>18</v>
      </c>
      <c r="G30" s="10"/>
      <c r="H30" s="4" t="s">
        <v>165</v>
      </c>
      <c r="I30" s="4" t="s">
        <v>182</v>
      </c>
      <c r="J30" s="4"/>
      <c r="K30" s="378" t="s">
        <v>548</v>
      </c>
      <c r="L30" s="38"/>
      <c r="M30" s="39">
        <v>2539420</v>
      </c>
      <c r="N30" s="39"/>
      <c r="O30" s="39"/>
      <c r="P30" s="39"/>
      <c r="Q30" s="39"/>
      <c r="R30" s="39">
        <f t="shared" si="0"/>
        <v>2539420</v>
      </c>
      <c r="S30" s="39">
        <f>2800000+1060000+198000</f>
        <v>4058000</v>
      </c>
      <c r="T30" s="39"/>
      <c r="U30" s="39"/>
      <c r="V30" s="39"/>
      <c r="W30" s="39"/>
      <c r="X30" s="39">
        <f t="shared" si="1"/>
        <v>4058000</v>
      </c>
      <c r="Y30" s="39">
        <f>3100000+1470000+218000</f>
        <v>4788000</v>
      </c>
      <c r="Z30" s="39"/>
      <c r="AA30" s="39"/>
      <c r="AB30" s="39"/>
      <c r="AC30" s="39"/>
      <c r="AD30" s="39">
        <f t="shared" si="2"/>
        <v>4788000</v>
      </c>
      <c r="AE30" s="39">
        <f>3300000+1450000+220000</f>
        <v>4970000</v>
      </c>
      <c r="AF30" s="39"/>
      <c r="AG30" s="39"/>
      <c r="AH30" s="39"/>
      <c r="AI30" s="39"/>
      <c r="AJ30" s="39">
        <f t="shared" si="3"/>
        <v>4970000</v>
      </c>
      <c r="AK30" s="39">
        <f t="shared" si="6"/>
        <v>16355420</v>
      </c>
      <c r="AL30" s="39">
        <f t="shared" si="6"/>
        <v>0</v>
      </c>
      <c r="AM30" s="39">
        <f t="shared" si="6"/>
        <v>0</v>
      </c>
      <c r="AN30" s="39">
        <f t="shared" si="6"/>
        <v>0</v>
      </c>
      <c r="AO30" s="39">
        <f t="shared" si="6"/>
        <v>0</v>
      </c>
      <c r="AP30" s="336">
        <f t="shared" si="5"/>
        <v>16355420</v>
      </c>
      <c r="AQ30" s="21"/>
      <c r="AR30" s="21"/>
      <c r="AS30" s="21"/>
      <c r="AT30" s="21"/>
      <c r="AU30" s="21"/>
      <c r="AV30" s="21"/>
    </row>
    <row r="31" spans="1:48">
      <c r="A31" s="6"/>
      <c r="B31" s="4"/>
      <c r="C31" s="4"/>
      <c r="D31" s="10"/>
      <c r="E31" s="10"/>
      <c r="F31" s="10"/>
      <c r="G31" s="10"/>
      <c r="H31" s="10"/>
      <c r="I31" s="10"/>
      <c r="J31" s="10"/>
      <c r="K31" s="10"/>
      <c r="L31" s="38"/>
      <c r="M31" s="39"/>
      <c r="N31" s="39"/>
      <c r="O31" s="39"/>
      <c r="P31" s="39"/>
      <c r="Q31" s="39"/>
      <c r="R31" s="39">
        <f t="shared" si="0"/>
        <v>0</v>
      </c>
      <c r="S31" s="39"/>
      <c r="T31" s="39"/>
      <c r="U31" s="39"/>
      <c r="V31" s="39"/>
      <c r="W31" s="39"/>
      <c r="X31" s="39">
        <f t="shared" si="1"/>
        <v>0</v>
      </c>
      <c r="Y31" s="39"/>
      <c r="Z31" s="39"/>
      <c r="AA31" s="39"/>
      <c r="AB31" s="39"/>
      <c r="AC31" s="39"/>
      <c r="AD31" s="39">
        <f t="shared" si="2"/>
        <v>0</v>
      </c>
      <c r="AE31" s="39"/>
      <c r="AF31" s="39"/>
      <c r="AG31" s="39"/>
      <c r="AH31" s="39"/>
      <c r="AI31" s="39"/>
      <c r="AJ31" s="39">
        <f t="shared" si="3"/>
        <v>0</v>
      </c>
      <c r="AK31" s="39">
        <f t="shared" si="6"/>
        <v>0</v>
      </c>
      <c r="AL31" s="39">
        <f t="shared" si="6"/>
        <v>0</v>
      </c>
      <c r="AM31" s="39">
        <f t="shared" si="6"/>
        <v>0</v>
      </c>
      <c r="AN31" s="39">
        <f t="shared" si="6"/>
        <v>0</v>
      </c>
      <c r="AO31" s="39">
        <f t="shared" si="6"/>
        <v>0</v>
      </c>
      <c r="AP31" s="336">
        <f t="shared" si="5"/>
        <v>0</v>
      </c>
      <c r="AQ31" s="21"/>
      <c r="AR31" s="21"/>
      <c r="AS31" s="21"/>
      <c r="AT31" s="21"/>
      <c r="AU31" s="21"/>
      <c r="AV31" s="21"/>
    </row>
    <row r="32" spans="1:48" ht="63.75">
      <c r="A32" s="6" t="s">
        <v>244</v>
      </c>
      <c r="B32" s="4">
        <v>2</v>
      </c>
      <c r="C32" s="4">
        <v>95</v>
      </c>
      <c r="D32" s="4" t="s">
        <v>164</v>
      </c>
      <c r="E32" s="10" t="s">
        <v>178</v>
      </c>
      <c r="F32" s="4" t="s">
        <v>18</v>
      </c>
      <c r="G32" s="10"/>
      <c r="H32" s="4" t="s">
        <v>165</v>
      </c>
      <c r="I32" s="4" t="s">
        <v>182</v>
      </c>
      <c r="J32" s="4"/>
      <c r="K32" s="378" t="s">
        <v>549</v>
      </c>
      <c r="L32" s="38"/>
      <c r="M32" s="39">
        <v>1312762</v>
      </c>
      <c r="N32" s="39"/>
      <c r="O32" s="39"/>
      <c r="P32" s="39"/>
      <c r="Q32" s="39"/>
      <c r="R32" s="39">
        <f t="shared" si="0"/>
        <v>1312762</v>
      </c>
      <c r="S32" s="39">
        <v>1444038</v>
      </c>
      <c r="T32" s="39"/>
      <c r="U32" s="39"/>
      <c r="V32" s="39"/>
      <c r="W32" s="39"/>
      <c r="X32" s="39">
        <f t="shared" si="1"/>
        <v>1444038</v>
      </c>
      <c r="Y32" s="39">
        <v>1558442</v>
      </c>
      <c r="Z32" s="39"/>
      <c r="AA32" s="39"/>
      <c r="AB32" s="39"/>
      <c r="AC32" s="39"/>
      <c r="AD32" s="39">
        <f t="shared" si="2"/>
        <v>1558442</v>
      </c>
      <c r="AE32" s="39">
        <v>1714286</v>
      </c>
      <c r="AF32" s="39"/>
      <c r="AG32" s="39"/>
      <c r="AH32" s="39"/>
      <c r="AI32" s="39"/>
      <c r="AJ32" s="39">
        <f t="shared" si="3"/>
        <v>1714286</v>
      </c>
      <c r="AK32" s="39">
        <f t="shared" si="6"/>
        <v>6029528</v>
      </c>
      <c r="AL32" s="39">
        <f t="shared" si="6"/>
        <v>0</v>
      </c>
      <c r="AM32" s="39">
        <f t="shared" si="6"/>
        <v>0</v>
      </c>
      <c r="AN32" s="39">
        <f t="shared" si="6"/>
        <v>0</v>
      </c>
      <c r="AO32" s="39">
        <f t="shared" si="6"/>
        <v>0</v>
      </c>
      <c r="AP32" s="336">
        <f t="shared" si="5"/>
        <v>6029528</v>
      </c>
      <c r="AQ32" s="21"/>
      <c r="AR32" s="21"/>
      <c r="AS32" s="21"/>
      <c r="AT32" s="21"/>
      <c r="AU32" s="21"/>
      <c r="AV32" s="21"/>
    </row>
    <row r="33" spans="1:48">
      <c r="A33" s="6"/>
      <c r="B33" s="4"/>
      <c r="C33" s="4"/>
      <c r="D33" s="10"/>
      <c r="E33" s="10"/>
      <c r="F33" s="10"/>
      <c r="G33" s="10"/>
      <c r="H33" s="10"/>
      <c r="I33" s="10"/>
      <c r="J33" s="10"/>
      <c r="K33" s="10"/>
      <c r="L33" s="38"/>
      <c r="M33" s="39"/>
      <c r="N33" s="39"/>
      <c r="O33" s="39"/>
      <c r="P33" s="39"/>
      <c r="Q33" s="39"/>
      <c r="R33" s="39">
        <f t="shared" si="0"/>
        <v>0</v>
      </c>
      <c r="S33" s="39"/>
      <c r="T33" s="39"/>
      <c r="U33" s="39"/>
      <c r="V33" s="39"/>
      <c r="W33" s="39"/>
      <c r="X33" s="39">
        <f t="shared" si="1"/>
        <v>0</v>
      </c>
      <c r="Y33" s="39"/>
      <c r="Z33" s="39"/>
      <c r="AA33" s="39"/>
      <c r="AB33" s="39"/>
      <c r="AC33" s="39"/>
      <c r="AD33" s="39">
        <f t="shared" si="2"/>
        <v>0</v>
      </c>
      <c r="AE33" s="39"/>
      <c r="AF33" s="39"/>
      <c r="AG33" s="39"/>
      <c r="AH33" s="39"/>
      <c r="AI33" s="39"/>
      <c r="AJ33" s="39">
        <f t="shared" si="3"/>
        <v>0</v>
      </c>
      <c r="AK33" s="39">
        <f t="shared" si="6"/>
        <v>0</v>
      </c>
      <c r="AL33" s="39">
        <f t="shared" si="6"/>
        <v>0</v>
      </c>
      <c r="AM33" s="39">
        <f t="shared" si="6"/>
        <v>0</v>
      </c>
      <c r="AN33" s="39">
        <f t="shared" si="6"/>
        <v>0</v>
      </c>
      <c r="AO33" s="39">
        <f t="shared" si="6"/>
        <v>0</v>
      </c>
      <c r="AP33" s="336">
        <f t="shared" si="5"/>
        <v>0</v>
      </c>
      <c r="AQ33" s="21"/>
      <c r="AR33" s="21"/>
      <c r="AS33" s="21"/>
      <c r="AT33" s="21"/>
      <c r="AU33" s="21"/>
      <c r="AV33" s="21"/>
    </row>
    <row r="34" spans="1:48" ht="102">
      <c r="A34" s="6" t="s">
        <v>245</v>
      </c>
      <c r="B34" s="4">
        <v>5</v>
      </c>
      <c r="C34" s="4">
        <v>85</v>
      </c>
      <c r="D34" s="4" t="s">
        <v>164</v>
      </c>
      <c r="E34" s="10" t="s">
        <v>179</v>
      </c>
      <c r="F34" s="4" t="s">
        <v>18</v>
      </c>
      <c r="G34" s="10"/>
      <c r="H34" s="4" t="s">
        <v>165</v>
      </c>
      <c r="I34" s="4" t="s">
        <v>182</v>
      </c>
      <c r="J34" s="4"/>
      <c r="K34" s="378" t="s">
        <v>548</v>
      </c>
      <c r="L34" s="38"/>
      <c r="M34" s="39">
        <v>2952832</v>
      </c>
      <c r="N34" s="39"/>
      <c r="O34" s="39"/>
      <c r="P34" s="39"/>
      <c r="Q34" s="39"/>
      <c r="R34" s="39">
        <f t="shared" si="0"/>
        <v>2952832</v>
      </c>
      <c r="S34" s="39">
        <v>2500000</v>
      </c>
      <c r="T34" s="39"/>
      <c r="U34" s="39"/>
      <c r="V34" s="39"/>
      <c r="W34" s="39"/>
      <c r="X34" s="39">
        <f t="shared" si="1"/>
        <v>2500000</v>
      </c>
      <c r="Y34" s="39">
        <v>2600000</v>
      </c>
      <c r="Z34" s="39"/>
      <c r="AA34" s="39"/>
      <c r="AB34" s="39"/>
      <c r="AC34" s="39"/>
      <c r="AD34" s="39">
        <f t="shared" si="2"/>
        <v>2600000</v>
      </c>
      <c r="AE34" s="39">
        <v>2600000</v>
      </c>
      <c r="AF34" s="39"/>
      <c r="AG34" s="39"/>
      <c r="AH34" s="39"/>
      <c r="AI34" s="39"/>
      <c r="AJ34" s="39">
        <f t="shared" si="3"/>
        <v>2600000</v>
      </c>
      <c r="AK34" s="39">
        <f t="shared" si="6"/>
        <v>10652832</v>
      </c>
      <c r="AL34" s="39">
        <f t="shared" si="6"/>
        <v>0</v>
      </c>
      <c r="AM34" s="39">
        <f t="shared" si="6"/>
        <v>0</v>
      </c>
      <c r="AN34" s="39">
        <f t="shared" si="6"/>
        <v>0</v>
      </c>
      <c r="AO34" s="39">
        <f t="shared" si="6"/>
        <v>0</v>
      </c>
      <c r="AP34" s="336">
        <f t="shared" si="5"/>
        <v>10652832</v>
      </c>
      <c r="AQ34" s="21"/>
      <c r="AR34" s="21"/>
      <c r="AS34" s="21"/>
      <c r="AT34" s="21"/>
      <c r="AU34" s="21"/>
      <c r="AV34" s="21"/>
    </row>
    <row r="35" spans="1:48">
      <c r="A35" s="6"/>
      <c r="B35" s="4"/>
      <c r="C35" s="4"/>
      <c r="D35" s="10"/>
      <c r="E35" s="10"/>
      <c r="F35" s="10"/>
      <c r="G35" s="10"/>
      <c r="H35" s="10"/>
      <c r="I35" s="10"/>
      <c r="J35" s="10"/>
      <c r="K35" s="10"/>
      <c r="L35" s="38"/>
      <c r="M35" s="39"/>
      <c r="N35" s="39"/>
      <c r="O35" s="39"/>
      <c r="P35" s="39"/>
      <c r="Q35" s="39"/>
      <c r="R35" s="39">
        <f t="shared" si="0"/>
        <v>0</v>
      </c>
      <c r="S35" s="39"/>
      <c r="T35" s="39"/>
      <c r="U35" s="39"/>
      <c r="V35" s="39"/>
      <c r="W35" s="39"/>
      <c r="X35" s="39">
        <f t="shared" si="1"/>
        <v>0</v>
      </c>
      <c r="Y35" s="39"/>
      <c r="Z35" s="39"/>
      <c r="AA35" s="39"/>
      <c r="AB35" s="39"/>
      <c r="AC35" s="39"/>
      <c r="AD35" s="39">
        <f t="shared" si="2"/>
        <v>0</v>
      </c>
      <c r="AE35" s="39"/>
      <c r="AF35" s="39"/>
      <c r="AG35" s="39"/>
      <c r="AH35" s="39"/>
      <c r="AI35" s="39"/>
      <c r="AJ35" s="39">
        <f t="shared" si="3"/>
        <v>0</v>
      </c>
      <c r="AK35" s="39">
        <f t="shared" si="6"/>
        <v>0</v>
      </c>
      <c r="AL35" s="39">
        <f t="shared" si="6"/>
        <v>0</v>
      </c>
      <c r="AM35" s="39">
        <f t="shared" si="6"/>
        <v>0</v>
      </c>
      <c r="AN35" s="39">
        <f t="shared" si="6"/>
        <v>0</v>
      </c>
      <c r="AO35" s="39">
        <f t="shared" si="6"/>
        <v>0</v>
      </c>
      <c r="AP35" s="336">
        <f t="shared" si="5"/>
        <v>0</v>
      </c>
      <c r="AQ35" s="21"/>
      <c r="AR35" s="21"/>
      <c r="AS35" s="21"/>
      <c r="AT35" s="21"/>
      <c r="AU35" s="21"/>
      <c r="AV35" s="21"/>
    </row>
    <row r="36" spans="1:48" s="272" customFormat="1" ht="102">
      <c r="A36" s="24" t="s">
        <v>246</v>
      </c>
      <c r="B36" s="20">
        <v>5</v>
      </c>
      <c r="C36" s="20">
        <v>85</v>
      </c>
      <c r="D36" s="20" t="s">
        <v>164</v>
      </c>
      <c r="E36" s="24" t="s">
        <v>180</v>
      </c>
      <c r="F36" s="20" t="s">
        <v>18</v>
      </c>
      <c r="G36" s="24"/>
      <c r="H36" s="20" t="s">
        <v>165</v>
      </c>
      <c r="I36" s="20" t="s">
        <v>182</v>
      </c>
      <c r="J36" s="20"/>
      <c r="K36" s="381" t="s">
        <v>548</v>
      </c>
      <c r="L36" s="270"/>
      <c r="M36" s="271">
        <v>1000000</v>
      </c>
      <c r="N36" s="271"/>
      <c r="O36" s="271"/>
      <c r="P36" s="271"/>
      <c r="Q36" s="271"/>
      <c r="R36" s="271">
        <f t="shared" si="0"/>
        <v>1000000</v>
      </c>
      <c r="S36" s="271">
        <f>121000</f>
        <v>121000</v>
      </c>
      <c r="T36" s="271"/>
      <c r="U36" s="271"/>
      <c r="V36" s="271"/>
      <c r="W36" s="271"/>
      <c r="X36" s="271">
        <f t="shared" si="1"/>
        <v>121000</v>
      </c>
      <c r="Y36" s="271">
        <v>43000</v>
      </c>
      <c r="Z36" s="271"/>
      <c r="AA36" s="271"/>
      <c r="AB36" s="271"/>
      <c r="AC36" s="271"/>
      <c r="AD36" s="271">
        <f t="shared" si="2"/>
        <v>43000</v>
      </c>
      <c r="AE36" s="271">
        <f>22100</f>
        <v>22100</v>
      </c>
      <c r="AF36" s="271"/>
      <c r="AG36" s="271"/>
      <c r="AH36" s="271"/>
      <c r="AI36" s="271"/>
      <c r="AJ36" s="271">
        <f t="shared" si="3"/>
        <v>22100</v>
      </c>
      <c r="AK36" s="271">
        <f t="shared" si="6"/>
        <v>1186100</v>
      </c>
      <c r="AL36" s="271">
        <f t="shared" si="6"/>
        <v>0</v>
      </c>
      <c r="AM36" s="271">
        <f t="shared" si="6"/>
        <v>0</v>
      </c>
      <c r="AN36" s="271">
        <f t="shared" si="6"/>
        <v>0</v>
      </c>
      <c r="AO36" s="271">
        <f t="shared" si="6"/>
        <v>0</v>
      </c>
      <c r="AP36" s="338">
        <f t="shared" si="5"/>
        <v>1186100</v>
      </c>
      <c r="AQ36" s="56"/>
      <c r="AR36" s="56"/>
      <c r="AS36" s="56"/>
      <c r="AT36" s="56"/>
      <c r="AU36" s="56"/>
      <c r="AV36" s="56"/>
    </row>
    <row r="37" spans="1:48">
      <c r="A37" s="6"/>
      <c r="B37" s="4"/>
      <c r="C37" s="4"/>
      <c r="D37" s="4"/>
      <c r="E37" s="10"/>
      <c r="F37" s="4"/>
      <c r="G37" s="10"/>
      <c r="H37" s="4"/>
      <c r="I37" s="4"/>
      <c r="J37" s="4"/>
      <c r="K37" s="10"/>
      <c r="L37" s="38"/>
      <c r="M37" s="39"/>
      <c r="N37" s="39"/>
      <c r="O37" s="39"/>
      <c r="P37" s="39"/>
      <c r="Q37" s="39"/>
      <c r="R37" s="39">
        <f t="shared" si="0"/>
        <v>0</v>
      </c>
      <c r="S37" s="39"/>
      <c r="T37" s="39"/>
      <c r="U37" s="39"/>
      <c r="V37" s="39"/>
      <c r="W37" s="39"/>
      <c r="X37" s="39">
        <f t="shared" si="1"/>
        <v>0</v>
      </c>
      <c r="Y37" s="39"/>
      <c r="Z37" s="39"/>
      <c r="AA37" s="39"/>
      <c r="AB37" s="39"/>
      <c r="AC37" s="39"/>
      <c r="AD37" s="39">
        <f t="shared" si="2"/>
        <v>0</v>
      </c>
      <c r="AE37" s="39"/>
      <c r="AF37" s="39"/>
      <c r="AG37" s="39"/>
      <c r="AH37" s="39"/>
      <c r="AI37" s="39"/>
      <c r="AJ37" s="39">
        <f t="shared" si="3"/>
        <v>0</v>
      </c>
      <c r="AK37" s="39">
        <f t="shared" si="6"/>
        <v>0</v>
      </c>
      <c r="AL37" s="39">
        <f t="shared" si="6"/>
        <v>0</v>
      </c>
      <c r="AM37" s="39">
        <f t="shared" si="6"/>
        <v>0</v>
      </c>
      <c r="AN37" s="39">
        <f t="shared" si="6"/>
        <v>0</v>
      </c>
      <c r="AO37" s="39">
        <f t="shared" si="6"/>
        <v>0</v>
      </c>
      <c r="AP37" s="336">
        <f t="shared" si="5"/>
        <v>0</v>
      </c>
      <c r="AQ37" s="21"/>
      <c r="AR37" s="21"/>
      <c r="AS37" s="21"/>
      <c r="AT37" s="21"/>
      <c r="AU37" s="21"/>
      <c r="AV37" s="21"/>
    </row>
    <row r="38" spans="1:48" ht="102">
      <c r="A38" s="6" t="s">
        <v>512</v>
      </c>
      <c r="B38" s="4">
        <v>15</v>
      </c>
      <c r="C38" s="4">
        <v>65</v>
      </c>
      <c r="D38" s="4" t="s">
        <v>164</v>
      </c>
      <c r="E38" s="10" t="s">
        <v>248</v>
      </c>
      <c r="F38" s="4" t="s">
        <v>18</v>
      </c>
      <c r="G38" s="10"/>
      <c r="H38" s="4" t="s">
        <v>165</v>
      </c>
      <c r="I38" s="4" t="s">
        <v>182</v>
      </c>
      <c r="J38" s="4"/>
      <c r="K38" s="378" t="s">
        <v>551</v>
      </c>
      <c r="L38" s="38"/>
      <c r="M38" s="39">
        <v>192081</v>
      </c>
      <c r="N38" s="39"/>
      <c r="O38" s="39"/>
      <c r="P38" s="39"/>
      <c r="Q38" s="39"/>
      <c r="R38" s="39">
        <f t="shared" si="0"/>
        <v>192081</v>
      </c>
      <c r="S38" s="39">
        <f>115000+60000</f>
        <v>175000</v>
      </c>
      <c r="T38" s="39"/>
      <c r="U38" s="39"/>
      <c r="V38" s="39"/>
      <c r="W38" s="39"/>
      <c r="X38" s="39">
        <f t="shared" si="1"/>
        <v>175000</v>
      </c>
      <c r="Y38" s="39">
        <f>180000+68000</f>
        <v>248000</v>
      </c>
      <c r="Z38" s="39"/>
      <c r="AA38" s="39"/>
      <c r="AB38" s="39"/>
      <c r="AC38" s="39"/>
      <c r="AD38" s="39">
        <f t="shared" si="2"/>
        <v>248000</v>
      </c>
      <c r="AE38" s="39">
        <f>250000+12000</f>
        <v>262000</v>
      </c>
      <c r="AF38" s="39"/>
      <c r="AG38" s="39"/>
      <c r="AH38" s="39"/>
      <c r="AI38" s="39"/>
      <c r="AJ38" s="39">
        <f t="shared" si="3"/>
        <v>262000</v>
      </c>
      <c r="AK38" s="39">
        <f t="shared" si="6"/>
        <v>877081</v>
      </c>
      <c r="AL38" s="39">
        <f t="shared" si="6"/>
        <v>0</v>
      </c>
      <c r="AM38" s="39">
        <f t="shared" si="6"/>
        <v>0</v>
      </c>
      <c r="AN38" s="39">
        <f t="shared" si="6"/>
        <v>0</v>
      </c>
      <c r="AO38" s="39">
        <f t="shared" si="6"/>
        <v>0</v>
      </c>
      <c r="AP38" s="336">
        <f t="shared" si="5"/>
        <v>877081</v>
      </c>
      <c r="AQ38" s="21"/>
      <c r="AR38" s="21"/>
      <c r="AS38" s="21"/>
      <c r="AT38" s="21"/>
      <c r="AU38" s="21"/>
      <c r="AV38" s="21"/>
    </row>
    <row r="39" spans="1:48">
      <c r="A39" s="6"/>
      <c r="B39" s="4"/>
      <c r="C39" s="4"/>
      <c r="D39" s="10"/>
      <c r="E39" s="10"/>
      <c r="F39" s="10"/>
      <c r="G39" s="10"/>
      <c r="H39" s="10"/>
      <c r="I39" s="10"/>
      <c r="J39" s="10"/>
      <c r="K39" s="10"/>
      <c r="L39" s="38"/>
      <c r="M39" s="39"/>
      <c r="N39" s="39"/>
      <c r="O39" s="39"/>
      <c r="P39" s="39"/>
      <c r="Q39" s="39"/>
      <c r="R39" s="39">
        <f t="shared" si="0"/>
        <v>0</v>
      </c>
      <c r="S39" s="39"/>
      <c r="T39" s="39"/>
      <c r="U39" s="39"/>
      <c r="V39" s="39"/>
      <c r="W39" s="39"/>
      <c r="X39" s="39">
        <f t="shared" si="1"/>
        <v>0</v>
      </c>
      <c r="Y39" s="39"/>
      <c r="Z39" s="39"/>
      <c r="AA39" s="39"/>
      <c r="AB39" s="39"/>
      <c r="AC39" s="39"/>
      <c r="AD39" s="39">
        <f t="shared" si="2"/>
        <v>0</v>
      </c>
      <c r="AE39" s="39"/>
      <c r="AF39" s="39"/>
      <c r="AG39" s="39"/>
      <c r="AH39" s="39"/>
      <c r="AI39" s="39"/>
      <c r="AJ39" s="39">
        <f t="shared" si="3"/>
        <v>0</v>
      </c>
      <c r="AK39" s="39">
        <f t="shared" si="6"/>
        <v>0</v>
      </c>
      <c r="AL39" s="39">
        <f t="shared" si="6"/>
        <v>0</v>
      </c>
      <c r="AM39" s="39">
        <f t="shared" si="6"/>
        <v>0</v>
      </c>
      <c r="AN39" s="39">
        <f t="shared" si="6"/>
        <v>0</v>
      </c>
      <c r="AO39" s="39">
        <f t="shared" si="6"/>
        <v>0</v>
      </c>
      <c r="AP39" s="336">
        <f t="shared" si="5"/>
        <v>0</v>
      </c>
      <c r="AQ39" s="21"/>
      <c r="AR39" s="21"/>
      <c r="AS39" s="21"/>
      <c r="AT39" s="21"/>
      <c r="AU39" s="21"/>
      <c r="AV39" s="21"/>
    </row>
    <row r="40" spans="1:48" ht="25.5">
      <c r="A40" s="27" t="s">
        <v>196</v>
      </c>
      <c r="B40" s="28"/>
      <c r="C40" s="28"/>
      <c r="D40" s="28"/>
      <c r="E40" s="28"/>
      <c r="F40" s="28"/>
      <c r="G40" s="28"/>
      <c r="H40" s="28"/>
      <c r="I40" s="28"/>
      <c r="J40" s="28"/>
      <c r="K40" s="28"/>
      <c r="L40" s="28"/>
      <c r="M40" s="48">
        <f>SUM(M8:M39)</f>
        <v>35315073</v>
      </c>
      <c r="N40" s="48">
        <f>SUM(N8:N39)</f>
        <v>0</v>
      </c>
      <c r="O40" s="48">
        <f>SUM(O8:O39)</f>
        <v>0</v>
      </c>
      <c r="P40" s="48">
        <f>SUM(P8:P39)</f>
        <v>0</v>
      </c>
      <c r="Q40" s="48">
        <f>SUM(Q8:Q39)</f>
        <v>0</v>
      </c>
      <c r="R40" s="48">
        <f>SUM(M40:Q40)</f>
        <v>35315073</v>
      </c>
      <c r="S40" s="48">
        <f>SUM(S8:S39)</f>
        <v>61675220</v>
      </c>
      <c r="T40" s="48">
        <f>SUM(T8:T39)</f>
        <v>0</v>
      </c>
      <c r="U40" s="48">
        <f>SUM(U8:U39)</f>
        <v>0</v>
      </c>
      <c r="V40" s="48">
        <f>SUM(V8:V39)</f>
        <v>0</v>
      </c>
      <c r="W40" s="48">
        <f>SUM(W8:W39)</f>
        <v>0</v>
      </c>
      <c r="X40" s="48">
        <f t="shared" si="1"/>
        <v>61675220</v>
      </c>
      <c r="Y40" s="48">
        <f>SUM(Y8:Y39)</f>
        <v>66434501</v>
      </c>
      <c r="Z40" s="48">
        <f>SUM(Z8:Z39)</f>
        <v>0</v>
      </c>
      <c r="AA40" s="48">
        <f>SUM(AA8:AA39)</f>
        <v>0</v>
      </c>
      <c r="AB40" s="48">
        <f>SUM(AB8:AB39)</f>
        <v>0</v>
      </c>
      <c r="AC40" s="48">
        <f>SUM(AC8:AC39)</f>
        <v>0</v>
      </c>
      <c r="AD40" s="48">
        <f t="shared" si="2"/>
        <v>66434501</v>
      </c>
      <c r="AE40" s="48">
        <f>SUM(AE8:AE39)</f>
        <v>64433026</v>
      </c>
      <c r="AF40" s="48">
        <f>SUM(AF8:AF39)</f>
        <v>0</v>
      </c>
      <c r="AG40" s="48">
        <f>SUM(AG8:AG39)</f>
        <v>0</v>
      </c>
      <c r="AH40" s="48">
        <f>SUM(AH8:AH39)</f>
        <v>0</v>
      </c>
      <c r="AI40" s="48">
        <f>SUM(AI8:AI39)</f>
        <v>0</v>
      </c>
      <c r="AJ40" s="48">
        <f t="shared" si="3"/>
        <v>64433026</v>
      </c>
      <c r="AK40" s="48">
        <f>SUM(AK8:AK39)</f>
        <v>227857820</v>
      </c>
      <c r="AL40" s="48">
        <f>SUM(AL8:AL39)</f>
        <v>0</v>
      </c>
      <c r="AM40" s="48">
        <f>SUM(AM8:AM39)</f>
        <v>0</v>
      </c>
      <c r="AN40" s="48">
        <f>SUM(AN8:AN39)</f>
        <v>0</v>
      </c>
      <c r="AO40" s="48">
        <f>SUM(AO8:AO39)</f>
        <v>0</v>
      </c>
      <c r="AP40" s="339">
        <f t="shared" si="5"/>
        <v>227857820</v>
      </c>
      <c r="AQ40" s="48">
        <f>SUM(AQ8:AQ39)</f>
        <v>0</v>
      </c>
      <c r="AR40" s="48">
        <f>SUM(AR8:AR39)</f>
        <v>0</v>
      </c>
      <c r="AS40" s="48">
        <f>SUM(AS8:AS39)</f>
        <v>0</v>
      </c>
      <c r="AT40" s="48">
        <f>SUM(AT8:AT39)</f>
        <v>0</v>
      </c>
      <c r="AU40" s="48">
        <f>SUM(AU8:AU39)</f>
        <v>0</v>
      </c>
      <c r="AV40" s="48">
        <f>SUM(AQ40:AU40)</f>
        <v>0</v>
      </c>
    </row>
    <row r="41" spans="1:48">
      <c r="A41" s="25" t="s">
        <v>188</v>
      </c>
      <c r="B41" s="49"/>
      <c r="C41" s="49"/>
      <c r="D41" s="49"/>
      <c r="E41" s="49"/>
      <c r="F41" s="49"/>
      <c r="G41" s="49"/>
      <c r="H41" s="49"/>
      <c r="I41" s="49"/>
      <c r="J41" s="49"/>
      <c r="K41" s="49"/>
      <c r="L41" s="49"/>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340"/>
      <c r="AQ41" s="407"/>
      <c r="AR41" s="407"/>
      <c r="AS41" s="407"/>
      <c r="AT41" s="407"/>
      <c r="AU41" s="407"/>
      <c r="AV41" s="407"/>
    </row>
    <row r="42" spans="1:48" ht="38.25">
      <c r="A42" s="323" t="s">
        <v>187</v>
      </c>
      <c r="B42" s="51"/>
      <c r="C42" s="51"/>
      <c r="D42" s="51"/>
      <c r="E42" s="51"/>
      <c r="F42" s="51"/>
      <c r="G42" s="51"/>
      <c r="H42" s="51"/>
      <c r="I42" s="51"/>
      <c r="J42" s="51"/>
      <c r="K42" s="51"/>
      <c r="L42" s="51"/>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341"/>
      <c r="AQ42" s="21"/>
      <c r="AR42" s="21"/>
      <c r="AS42" s="21"/>
      <c r="AT42" s="21"/>
      <c r="AU42" s="21"/>
      <c r="AV42" s="21"/>
    </row>
    <row r="43" spans="1:48">
      <c r="A43" s="53" t="s">
        <v>97</v>
      </c>
      <c r="B43" s="53"/>
      <c r="C43" s="53"/>
      <c r="D43" s="53"/>
      <c r="E43" s="53"/>
      <c r="F43" s="53"/>
      <c r="G43" s="53"/>
      <c r="H43" s="53"/>
      <c r="I43" s="53"/>
      <c r="J43" s="53"/>
      <c r="K43" s="53"/>
      <c r="L43" s="53"/>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342"/>
      <c r="AQ43" s="408"/>
      <c r="AR43" s="408"/>
      <c r="AS43" s="408"/>
      <c r="AT43" s="408"/>
      <c r="AU43" s="408"/>
      <c r="AV43" s="408"/>
    </row>
    <row r="44" spans="1:48" ht="25.5">
      <c r="A44" s="3" t="s">
        <v>567</v>
      </c>
      <c r="B44" s="51"/>
      <c r="C44" s="51"/>
      <c r="D44" s="51"/>
      <c r="E44" s="51"/>
      <c r="F44" s="51"/>
      <c r="G44" s="51"/>
      <c r="H44" s="51"/>
      <c r="I44" s="51"/>
      <c r="J44" s="51"/>
      <c r="K44" s="51"/>
      <c r="L44" s="51"/>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341"/>
      <c r="AQ44" s="21"/>
      <c r="AR44" s="21"/>
      <c r="AS44" s="21"/>
      <c r="AT44" s="21"/>
      <c r="AU44" s="21"/>
      <c r="AV44" s="21"/>
    </row>
    <row r="45" spans="1:48" s="66" customFormat="1">
      <c r="A45" s="323" t="s">
        <v>144</v>
      </c>
      <c r="B45" s="8"/>
      <c r="C45" s="8"/>
      <c r="D45" s="316"/>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259"/>
      <c r="AQ45" s="8"/>
      <c r="AR45" s="8"/>
      <c r="AS45" s="8"/>
      <c r="AT45" s="8"/>
      <c r="AU45" s="8"/>
      <c r="AV45" s="8"/>
    </row>
    <row r="46" spans="1:48" s="66" customFormat="1">
      <c r="A46" s="323" t="s">
        <v>75</v>
      </c>
      <c r="B46" s="8"/>
      <c r="C46" s="8"/>
      <c r="D46" s="316"/>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259"/>
      <c r="AQ46" s="8"/>
      <c r="AR46" s="8"/>
      <c r="AS46" s="8"/>
      <c r="AT46" s="8"/>
      <c r="AU46" s="8"/>
      <c r="AV46" s="8"/>
    </row>
    <row r="47" spans="1:48" s="66" customFormat="1" ht="63.75">
      <c r="A47" s="10" t="s">
        <v>76</v>
      </c>
      <c r="B47" s="10"/>
      <c r="C47" s="10"/>
      <c r="D47" s="10" t="s">
        <v>97</v>
      </c>
      <c r="E47" s="10" t="s">
        <v>99</v>
      </c>
      <c r="F47" s="10" t="s">
        <v>18</v>
      </c>
      <c r="G47" s="10"/>
      <c r="H47" s="10" t="s">
        <v>118</v>
      </c>
      <c r="I47" s="10" t="s">
        <v>142</v>
      </c>
      <c r="J47" s="10" t="s">
        <v>256</v>
      </c>
      <c r="K47" s="399" t="s">
        <v>553</v>
      </c>
      <c r="L47" s="10"/>
      <c r="M47" s="245">
        <v>14599270.999999974</v>
      </c>
      <c r="N47" s="245"/>
      <c r="O47" s="245"/>
      <c r="P47" s="245"/>
      <c r="Q47" s="245"/>
      <c r="R47" s="245">
        <v>14599270.999999974</v>
      </c>
      <c r="S47" s="245">
        <v>7944915.0000000019</v>
      </c>
      <c r="T47" s="245"/>
      <c r="U47" s="245"/>
      <c r="V47" s="245"/>
      <c r="W47" s="245"/>
      <c r="X47" s="245">
        <v>7944915.0000000019</v>
      </c>
      <c r="Y47" s="245">
        <v>9903438.0555100199</v>
      </c>
      <c r="Z47" s="245"/>
      <c r="AA47" s="245"/>
      <c r="AB47" s="245"/>
      <c r="AC47" s="245"/>
      <c r="AD47" s="245">
        <v>9903438.0555100199</v>
      </c>
      <c r="AE47" s="245">
        <v>7964733.0158517603</v>
      </c>
      <c r="AF47" s="245"/>
      <c r="AG47" s="245"/>
      <c r="AH47" s="245"/>
      <c r="AI47" s="245"/>
      <c r="AJ47" s="245">
        <v>7964733.0158517603</v>
      </c>
      <c r="AK47" s="245">
        <v>40412357.071361758</v>
      </c>
      <c r="AL47" s="245">
        <v>0</v>
      </c>
      <c r="AM47" s="245">
        <v>0</v>
      </c>
      <c r="AN47" s="245">
        <v>0</v>
      </c>
      <c r="AO47" s="245">
        <v>0</v>
      </c>
      <c r="AP47" s="343">
        <v>40412357.071361758</v>
      </c>
      <c r="AQ47" s="245"/>
      <c r="AR47" s="245"/>
      <c r="AS47" s="245"/>
      <c r="AT47" s="245"/>
      <c r="AU47" s="245"/>
      <c r="AV47" s="245"/>
    </row>
    <row r="48" spans="1:48" s="66" customFormat="1" ht="102">
      <c r="A48" s="10" t="s">
        <v>79</v>
      </c>
      <c r="B48" s="10"/>
      <c r="C48" s="10"/>
      <c r="D48" s="10" t="s">
        <v>98</v>
      </c>
      <c r="E48" s="10" t="s">
        <v>101</v>
      </c>
      <c r="F48" s="10" t="s">
        <v>18</v>
      </c>
      <c r="G48" s="10"/>
      <c r="H48" s="10" t="s">
        <v>118</v>
      </c>
      <c r="I48" s="10" t="s">
        <v>142</v>
      </c>
      <c r="J48" s="10" t="s">
        <v>257</v>
      </c>
      <c r="K48" s="383" t="s">
        <v>553</v>
      </c>
      <c r="L48" s="10"/>
      <c r="M48" s="384"/>
      <c r="N48" s="131"/>
      <c r="O48" s="131"/>
      <c r="P48" s="131"/>
      <c r="Q48" s="131"/>
      <c r="R48" s="131"/>
      <c r="S48" s="384"/>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344"/>
      <c r="AQ48" s="385"/>
      <c r="AR48" s="384"/>
      <c r="AS48" s="384"/>
      <c r="AT48" s="384"/>
      <c r="AU48" s="384"/>
      <c r="AV48" s="384"/>
    </row>
    <row r="49" spans="1:48" s="66" customFormat="1" ht="127.5">
      <c r="A49" s="10" t="s">
        <v>80</v>
      </c>
      <c r="B49" s="10"/>
      <c r="C49" s="10"/>
      <c r="D49" s="10" t="s">
        <v>258</v>
      </c>
      <c r="E49" s="10" t="s">
        <v>102</v>
      </c>
      <c r="F49" s="10" t="s">
        <v>18</v>
      </c>
      <c r="G49" s="10"/>
      <c r="H49" s="10" t="s">
        <v>468</v>
      </c>
      <c r="I49" s="10" t="s">
        <v>142</v>
      </c>
      <c r="J49" s="10" t="s">
        <v>257</v>
      </c>
      <c r="K49" s="383" t="s">
        <v>553</v>
      </c>
      <c r="L49" s="10"/>
      <c r="M49" s="384"/>
      <c r="N49" s="131"/>
      <c r="O49" s="131"/>
      <c r="P49" s="131"/>
      <c r="Q49" s="131"/>
      <c r="R49" s="131"/>
      <c r="S49" s="384"/>
      <c r="T49" s="131"/>
      <c r="U49" s="131"/>
      <c r="V49" s="131"/>
      <c r="W49" s="131"/>
      <c r="X49" s="131"/>
      <c r="Y49" s="384"/>
      <c r="Z49" s="131"/>
      <c r="AA49" s="131"/>
      <c r="AB49" s="131"/>
      <c r="AC49" s="131"/>
      <c r="AD49" s="131"/>
      <c r="AE49" s="384"/>
      <c r="AF49" s="131"/>
      <c r="AG49" s="131"/>
      <c r="AH49" s="131"/>
      <c r="AI49" s="131"/>
      <c r="AJ49" s="131"/>
      <c r="AK49" s="131"/>
      <c r="AL49" s="131"/>
      <c r="AM49" s="131"/>
      <c r="AN49" s="131"/>
      <c r="AO49" s="131"/>
      <c r="AP49" s="344"/>
      <c r="AQ49" s="385"/>
      <c r="AR49" s="384"/>
      <c r="AS49" s="384"/>
      <c r="AT49" s="384"/>
      <c r="AU49" s="384"/>
      <c r="AV49" s="384"/>
    </row>
    <row r="50" spans="1:48" s="66" customFormat="1" ht="140.25">
      <c r="A50" s="10" t="s">
        <v>81</v>
      </c>
      <c r="B50" s="10"/>
      <c r="C50" s="10"/>
      <c r="D50" s="10" t="s">
        <v>97</v>
      </c>
      <c r="E50" s="10" t="s">
        <v>103</v>
      </c>
      <c r="F50" s="10" t="s">
        <v>141</v>
      </c>
      <c r="G50" s="10" t="s">
        <v>120</v>
      </c>
      <c r="H50" s="10" t="s">
        <v>468</v>
      </c>
      <c r="I50" s="10" t="s">
        <v>142</v>
      </c>
      <c r="J50" s="10"/>
      <c r="K50" s="383" t="s">
        <v>553</v>
      </c>
      <c r="L50" s="10"/>
      <c r="M50" s="384"/>
      <c r="N50" s="131"/>
      <c r="O50" s="131"/>
      <c r="P50" s="131"/>
      <c r="Q50" s="131"/>
      <c r="R50" s="131"/>
      <c r="S50" s="384"/>
      <c r="T50" s="131"/>
      <c r="U50" s="131"/>
      <c r="V50" s="131"/>
      <c r="W50" s="131"/>
      <c r="X50" s="131"/>
      <c r="Y50" s="131"/>
      <c r="Z50" s="131"/>
      <c r="AA50" s="131"/>
      <c r="AB50" s="131"/>
      <c r="AC50" s="131"/>
      <c r="AD50" s="131"/>
      <c r="AE50" s="131"/>
      <c r="AF50" s="131"/>
      <c r="AG50" s="131"/>
      <c r="AH50" s="131"/>
      <c r="AI50" s="131"/>
      <c r="AJ50" s="131"/>
      <c r="AK50" s="131"/>
      <c r="AL50" s="131"/>
      <c r="AM50" s="131"/>
      <c r="AN50" s="131"/>
      <c r="AO50" s="131"/>
      <c r="AP50" s="344"/>
      <c r="AQ50" s="385"/>
      <c r="AR50" s="384"/>
      <c r="AS50" s="384"/>
      <c r="AT50" s="384"/>
      <c r="AU50" s="384"/>
      <c r="AV50" s="384"/>
    </row>
    <row r="51" spans="1:48" s="66" customFormat="1" ht="63.75">
      <c r="A51" s="63" t="s">
        <v>82</v>
      </c>
      <c r="B51" s="63"/>
      <c r="C51" s="63"/>
      <c r="D51" s="63" t="s">
        <v>97</v>
      </c>
      <c r="E51" s="63" t="s">
        <v>104</v>
      </c>
      <c r="F51" s="63" t="s">
        <v>18</v>
      </c>
      <c r="G51" s="63"/>
      <c r="H51" s="63" t="s">
        <v>118</v>
      </c>
      <c r="I51" s="63" t="s">
        <v>142</v>
      </c>
      <c r="J51" s="63" t="s">
        <v>259</v>
      </c>
      <c r="K51" s="382" t="s">
        <v>553</v>
      </c>
      <c r="L51" s="63"/>
      <c r="M51" s="245">
        <v>1493233</v>
      </c>
      <c r="N51" s="245"/>
      <c r="O51" s="245"/>
      <c r="P51" s="245"/>
      <c r="Q51" s="245"/>
      <c r="R51" s="245">
        <v>1493233</v>
      </c>
      <c r="S51" s="245">
        <v>1699990.0000000007</v>
      </c>
      <c r="T51" s="245"/>
      <c r="U51" s="245"/>
      <c r="V51" s="245"/>
      <c r="W51" s="245"/>
      <c r="X51" s="245">
        <v>1699990.0000000007</v>
      </c>
      <c r="Y51" s="245">
        <v>0</v>
      </c>
      <c r="Z51" s="245"/>
      <c r="AA51" s="245"/>
      <c r="AB51" s="245"/>
      <c r="AC51" s="245"/>
      <c r="AD51" s="245">
        <v>0</v>
      </c>
      <c r="AE51" s="245">
        <v>0</v>
      </c>
      <c r="AF51" s="245"/>
      <c r="AG51" s="245"/>
      <c r="AH51" s="245"/>
      <c r="AI51" s="245"/>
      <c r="AJ51" s="245">
        <v>0</v>
      </c>
      <c r="AK51" s="245">
        <v>3193223.0000000009</v>
      </c>
      <c r="AL51" s="245">
        <v>0</v>
      </c>
      <c r="AM51" s="245">
        <v>0</v>
      </c>
      <c r="AN51" s="245">
        <v>0</v>
      </c>
      <c r="AO51" s="245">
        <v>0</v>
      </c>
      <c r="AP51" s="343">
        <v>3193223.0000000009</v>
      </c>
      <c r="AQ51" s="245"/>
      <c r="AR51" s="245"/>
      <c r="AS51" s="245"/>
      <c r="AT51" s="245"/>
      <c r="AU51" s="245"/>
      <c r="AV51" s="245"/>
    </row>
    <row r="52" spans="1:48" s="66" customFormat="1" ht="76.5">
      <c r="A52" s="63" t="s">
        <v>83</v>
      </c>
      <c r="B52" s="63"/>
      <c r="C52" s="63"/>
      <c r="D52" s="63" t="s">
        <v>97</v>
      </c>
      <c r="E52" s="63" t="s">
        <v>105</v>
      </c>
      <c r="F52" s="63" t="s">
        <v>18</v>
      </c>
      <c r="G52" s="63"/>
      <c r="H52" s="63" t="s">
        <v>118</v>
      </c>
      <c r="I52" s="63" t="s">
        <v>142</v>
      </c>
      <c r="J52" s="63" t="s">
        <v>260</v>
      </c>
      <c r="K52" s="386" t="s">
        <v>553</v>
      </c>
      <c r="L52" s="63"/>
      <c r="M52" s="245">
        <v>645009</v>
      </c>
      <c r="N52" s="245"/>
      <c r="O52" s="245"/>
      <c r="P52" s="245"/>
      <c r="Q52" s="245"/>
      <c r="R52" s="245">
        <v>645009</v>
      </c>
      <c r="S52" s="245">
        <v>2565923.8948100652</v>
      </c>
      <c r="T52" s="245"/>
      <c r="U52" s="245"/>
      <c r="V52" s="245"/>
      <c r="W52" s="245"/>
      <c r="X52" s="245">
        <v>2565923.8948100652</v>
      </c>
      <c r="Y52" s="245">
        <v>1479744.95526</v>
      </c>
      <c r="Z52" s="245"/>
      <c r="AA52" s="245"/>
      <c r="AB52" s="245"/>
      <c r="AC52" s="245"/>
      <c r="AD52" s="245">
        <v>1479744.95526</v>
      </c>
      <c r="AE52" s="245">
        <v>4008764.49</v>
      </c>
      <c r="AF52" s="245"/>
      <c r="AG52" s="245"/>
      <c r="AH52" s="245"/>
      <c r="AI52" s="245"/>
      <c r="AJ52" s="245">
        <v>4008764.49</v>
      </c>
      <c r="AK52" s="245">
        <v>8699442.3400700651</v>
      </c>
      <c r="AL52" s="245">
        <v>0</v>
      </c>
      <c r="AM52" s="245">
        <v>0</v>
      </c>
      <c r="AN52" s="245">
        <v>0</v>
      </c>
      <c r="AO52" s="245">
        <v>0</v>
      </c>
      <c r="AP52" s="343">
        <v>8699442.3400700651</v>
      </c>
      <c r="AQ52" s="245"/>
      <c r="AR52" s="245"/>
      <c r="AS52" s="245"/>
      <c r="AT52" s="245"/>
      <c r="AU52" s="245"/>
      <c r="AV52" s="245"/>
    </row>
    <row r="53" spans="1:48" s="66" customFormat="1" ht="89.25">
      <c r="A53" s="10" t="s">
        <v>84</v>
      </c>
      <c r="B53" s="10"/>
      <c r="C53" s="10"/>
      <c r="D53" s="10" t="s">
        <v>97</v>
      </c>
      <c r="E53" s="10" t="s">
        <v>106</v>
      </c>
      <c r="F53" s="10" t="s">
        <v>18</v>
      </c>
      <c r="G53" s="10"/>
      <c r="H53" s="10" t="s">
        <v>468</v>
      </c>
      <c r="I53" s="10" t="s">
        <v>142</v>
      </c>
      <c r="J53" s="10"/>
      <c r="K53" s="383" t="s">
        <v>553</v>
      </c>
      <c r="L53" s="10"/>
      <c r="M53" s="131"/>
      <c r="N53" s="131"/>
      <c r="O53" s="131"/>
      <c r="P53" s="131"/>
      <c r="Q53" s="131"/>
      <c r="R53" s="131"/>
      <c r="S53" s="131"/>
      <c r="T53" s="131"/>
      <c r="U53" s="131"/>
      <c r="V53" s="131"/>
      <c r="W53" s="131"/>
      <c r="X53" s="131"/>
      <c r="Y53" s="387"/>
      <c r="Z53" s="131"/>
      <c r="AA53" s="131"/>
      <c r="AB53" s="131"/>
      <c r="AC53" s="131"/>
      <c r="AD53" s="131"/>
      <c r="AE53" s="131"/>
      <c r="AF53" s="131"/>
      <c r="AG53" s="131"/>
      <c r="AH53" s="131"/>
      <c r="AI53" s="131"/>
      <c r="AJ53" s="131"/>
      <c r="AK53" s="131"/>
      <c r="AL53" s="131"/>
      <c r="AM53" s="131"/>
      <c r="AN53" s="131"/>
      <c r="AO53" s="131"/>
      <c r="AP53" s="344"/>
      <c r="AQ53" s="385"/>
      <c r="AR53" s="384"/>
      <c r="AS53" s="384"/>
      <c r="AT53" s="384"/>
      <c r="AU53" s="384"/>
      <c r="AV53" s="384"/>
    </row>
    <row r="54" spans="1:48" s="66" customFormat="1" ht="72" customHeight="1">
      <c r="A54" s="63" t="s">
        <v>85</v>
      </c>
      <c r="B54" s="63"/>
      <c r="C54" s="63"/>
      <c r="D54" s="63" t="s">
        <v>97</v>
      </c>
      <c r="E54" s="63" t="s">
        <v>107</v>
      </c>
      <c r="F54" s="63" t="s">
        <v>18</v>
      </c>
      <c r="G54" s="63"/>
      <c r="H54" s="63" t="s">
        <v>118</v>
      </c>
      <c r="I54" s="63" t="s">
        <v>142</v>
      </c>
      <c r="J54" s="63"/>
      <c r="K54" s="388" t="s">
        <v>553</v>
      </c>
      <c r="L54" s="63"/>
      <c r="M54" s="245">
        <v>87120</v>
      </c>
      <c r="N54" s="245"/>
      <c r="O54" s="245"/>
      <c r="P54" s="245"/>
      <c r="Q54" s="245"/>
      <c r="R54" s="245">
        <v>87120</v>
      </c>
      <c r="S54" s="245">
        <v>1034780.128</v>
      </c>
      <c r="T54" s="245"/>
      <c r="U54" s="245"/>
      <c r="V54" s="245"/>
      <c r="W54" s="245"/>
      <c r="X54" s="245">
        <v>1034780.128</v>
      </c>
      <c r="Y54" s="245">
        <v>1076171.3331199999</v>
      </c>
      <c r="Z54" s="245"/>
      <c r="AA54" s="245"/>
      <c r="AB54" s="245"/>
      <c r="AC54" s="245"/>
      <c r="AD54" s="245">
        <v>1076171.3331199999</v>
      </c>
      <c r="AE54" s="245">
        <v>1119218.1864447999</v>
      </c>
      <c r="AF54" s="245"/>
      <c r="AG54" s="245"/>
      <c r="AH54" s="245"/>
      <c r="AI54" s="245"/>
      <c r="AJ54" s="245">
        <v>1119218.1864447999</v>
      </c>
      <c r="AK54" s="245">
        <v>3317289.6475648</v>
      </c>
      <c r="AL54" s="245">
        <v>0</v>
      </c>
      <c r="AM54" s="245">
        <v>0</v>
      </c>
      <c r="AN54" s="245">
        <v>0</v>
      </c>
      <c r="AO54" s="245">
        <v>0</v>
      </c>
      <c r="AP54" s="343">
        <v>3317289.6475648</v>
      </c>
      <c r="AQ54" s="245"/>
      <c r="AR54" s="245"/>
      <c r="AS54" s="245"/>
      <c r="AT54" s="245"/>
      <c r="AU54" s="245"/>
      <c r="AV54" s="245"/>
    </row>
    <row r="55" spans="1:48" s="66" customFormat="1" ht="66" customHeight="1">
      <c r="A55" s="63" t="s">
        <v>86</v>
      </c>
      <c r="B55" s="63"/>
      <c r="C55" s="63"/>
      <c r="D55" s="63" t="s">
        <v>97</v>
      </c>
      <c r="E55" s="63" t="s">
        <v>108</v>
      </c>
      <c r="F55" s="63" t="s">
        <v>18</v>
      </c>
      <c r="G55" s="63"/>
      <c r="H55" s="63" t="s">
        <v>118</v>
      </c>
      <c r="I55" s="63" t="s">
        <v>142</v>
      </c>
      <c r="J55" s="63"/>
      <c r="K55" s="382" t="s">
        <v>553</v>
      </c>
      <c r="L55" s="63"/>
      <c r="M55" s="245">
        <v>1000000</v>
      </c>
      <c r="N55" s="245"/>
      <c r="O55" s="245"/>
      <c r="P55" s="245"/>
      <c r="Q55" s="245"/>
      <c r="R55" s="245">
        <v>1000000</v>
      </c>
      <c r="S55" s="245">
        <v>1000000</v>
      </c>
      <c r="T55" s="245"/>
      <c r="U55" s="245"/>
      <c r="V55" s="245"/>
      <c r="W55" s="245"/>
      <c r="X55" s="245">
        <v>1000000</v>
      </c>
      <c r="Y55" s="245">
        <v>1040000</v>
      </c>
      <c r="Z55" s="245"/>
      <c r="AA55" s="245"/>
      <c r="AB55" s="245"/>
      <c r="AC55" s="245"/>
      <c r="AD55" s="245">
        <v>1040000</v>
      </c>
      <c r="AE55" s="245">
        <v>1081600</v>
      </c>
      <c r="AF55" s="245"/>
      <c r="AG55" s="245"/>
      <c r="AH55" s="245"/>
      <c r="AI55" s="245"/>
      <c r="AJ55" s="245">
        <v>1081600</v>
      </c>
      <c r="AK55" s="245">
        <v>4121600</v>
      </c>
      <c r="AL55" s="245">
        <v>0</v>
      </c>
      <c r="AM55" s="245">
        <v>0</v>
      </c>
      <c r="AN55" s="245">
        <v>0</v>
      </c>
      <c r="AO55" s="245">
        <v>0</v>
      </c>
      <c r="AP55" s="343">
        <v>4121600</v>
      </c>
      <c r="AQ55" s="245"/>
      <c r="AR55" s="245"/>
      <c r="AS55" s="245"/>
      <c r="AT55" s="245"/>
      <c r="AU55" s="245"/>
      <c r="AV55" s="245"/>
    </row>
    <row r="56" spans="1:48" s="66" customFormat="1" ht="68.25" customHeight="1">
      <c r="A56" s="63" t="s">
        <v>87</v>
      </c>
      <c r="B56" s="63"/>
      <c r="C56" s="63"/>
      <c r="D56" s="63" t="s">
        <v>97</v>
      </c>
      <c r="E56" s="63" t="s">
        <v>109</v>
      </c>
      <c r="F56" s="63" t="s">
        <v>18</v>
      </c>
      <c r="G56" s="63"/>
      <c r="H56" s="63" t="s">
        <v>118</v>
      </c>
      <c r="I56" s="63" t="s">
        <v>142</v>
      </c>
      <c r="J56" s="63" t="s">
        <v>261</v>
      </c>
      <c r="K56" s="389" t="s">
        <v>553</v>
      </c>
      <c r="L56" s="63"/>
      <c r="M56" s="245">
        <v>1680344</v>
      </c>
      <c r="N56" s="245"/>
      <c r="O56" s="245"/>
      <c r="P56" s="245"/>
      <c r="Q56" s="245"/>
      <c r="R56" s="245">
        <v>1680344</v>
      </c>
      <c r="S56" s="245">
        <v>1078230</v>
      </c>
      <c r="T56" s="245"/>
      <c r="U56" s="245"/>
      <c r="V56" s="245"/>
      <c r="W56" s="245"/>
      <c r="X56" s="245">
        <v>1078230</v>
      </c>
      <c r="Y56" s="245">
        <v>1121359.2</v>
      </c>
      <c r="Z56" s="245"/>
      <c r="AA56" s="245"/>
      <c r="AB56" s="245"/>
      <c r="AC56" s="245"/>
      <c r="AD56" s="245">
        <v>1121359.2</v>
      </c>
      <c r="AE56" s="245">
        <v>1166213.568</v>
      </c>
      <c r="AF56" s="245"/>
      <c r="AG56" s="245"/>
      <c r="AH56" s="245"/>
      <c r="AI56" s="245"/>
      <c r="AJ56" s="245">
        <v>1166213.568</v>
      </c>
      <c r="AK56" s="245">
        <v>5046146.7680000002</v>
      </c>
      <c r="AL56" s="245">
        <v>0</v>
      </c>
      <c r="AM56" s="245">
        <v>0</v>
      </c>
      <c r="AN56" s="245">
        <v>0</v>
      </c>
      <c r="AO56" s="245">
        <v>0</v>
      </c>
      <c r="AP56" s="343">
        <v>5046146.7680000002</v>
      </c>
      <c r="AQ56" s="245"/>
      <c r="AR56" s="245"/>
      <c r="AS56" s="245"/>
      <c r="AT56" s="245"/>
      <c r="AU56" s="245"/>
      <c r="AV56" s="245"/>
    </row>
    <row r="57" spans="1:48" s="66" customFormat="1" ht="357">
      <c r="A57" s="63" t="s">
        <v>88</v>
      </c>
      <c r="B57" s="63"/>
      <c r="C57" s="63"/>
      <c r="D57" s="63" t="s">
        <v>97</v>
      </c>
      <c r="E57" s="63" t="s">
        <v>110</v>
      </c>
      <c r="F57" s="63" t="s">
        <v>18</v>
      </c>
      <c r="G57" s="63"/>
      <c r="H57" s="63" t="s">
        <v>118</v>
      </c>
      <c r="I57" s="63" t="s">
        <v>142</v>
      </c>
      <c r="J57" s="63" t="s">
        <v>262</v>
      </c>
      <c r="K57" s="379" t="s">
        <v>553</v>
      </c>
      <c r="L57" s="63"/>
      <c r="M57" s="245">
        <v>634747</v>
      </c>
      <c r="N57" s="245"/>
      <c r="O57" s="245"/>
      <c r="P57" s="245"/>
      <c r="Q57" s="245"/>
      <c r="R57" s="245">
        <v>634747</v>
      </c>
      <c r="S57" s="245">
        <v>634747</v>
      </c>
      <c r="T57" s="245"/>
      <c r="U57" s="245"/>
      <c r="V57" s="245"/>
      <c r="W57" s="245"/>
      <c r="X57" s="245">
        <v>634747</v>
      </c>
      <c r="Y57" s="245">
        <v>660136.88</v>
      </c>
      <c r="Z57" s="245"/>
      <c r="AA57" s="245"/>
      <c r="AB57" s="245"/>
      <c r="AC57" s="245"/>
      <c r="AD57" s="245">
        <v>660136.88</v>
      </c>
      <c r="AE57" s="245">
        <v>686542.35519999976</v>
      </c>
      <c r="AF57" s="245"/>
      <c r="AG57" s="245"/>
      <c r="AH57" s="245"/>
      <c r="AI57" s="245"/>
      <c r="AJ57" s="245">
        <v>686542.35519999976</v>
      </c>
      <c r="AK57" s="245">
        <v>2616173.2351999995</v>
      </c>
      <c r="AL57" s="245">
        <v>0</v>
      </c>
      <c r="AM57" s="245">
        <v>0</v>
      </c>
      <c r="AN57" s="245">
        <v>0</v>
      </c>
      <c r="AO57" s="245">
        <v>0</v>
      </c>
      <c r="AP57" s="343">
        <v>2616173.2351999995</v>
      </c>
      <c r="AQ57" s="245"/>
      <c r="AR57" s="245"/>
      <c r="AS57" s="245"/>
      <c r="AT57" s="245"/>
      <c r="AU57" s="245"/>
      <c r="AV57" s="245"/>
    </row>
    <row r="58" spans="1:48" s="66" customFormat="1" ht="141" thickBot="1">
      <c r="A58" s="63" t="s">
        <v>89</v>
      </c>
      <c r="B58" s="63"/>
      <c r="C58" s="63"/>
      <c r="D58" s="63" t="s">
        <v>97</v>
      </c>
      <c r="E58" s="63" t="s">
        <v>111</v>
      </c>
      <c r="F58" s="63" t="s">
        <v>18</v>
      </c>
      <c r="G58" s="63"/>
      <c r="H58" s="63" t="s">
        <v>118</v>
      </c>
      <c r="I58" s="63" t="s">
        <v>142</v>
      </c>
      <c r="J58" s="63" t="s">
        <v>263</v>
      </c>
      <c r="K58" s="379" t="s">
        <v>553</v>
      </c>
      <c r="L58" s="63"/>
      <c r="M58" s="245">
        <v>307422</v>
      </c>
      <c r="N58" s="245"/>
      <c r="O58" s="245"/>
      <c r="P58" s="245"/>
      <c r="Q58" s="245"/>
      <c r="R58" s="245">
        <v>307422</v>
      </c>
      <c r="S58" s="245">
        <v>315166</v>
      </c>
      <c r="T58" s="245"/>
      <c r="U58" s="245"/>
      <c r="V58" s="245"/>
      <c r="W58" s="245"/>
      <c r="X58" s="245">
        <v>315166</v>
      </c>
      <c r="Y58" s="245">
        <v>327772.64</v>
      </c>
      <c r="Z58" s="245"/>
      <c r="AA58" s="245"/>
      <c r="AB58" s="245"/>
      <c r="AC58" s="245"/>
      <c r="AD58" s="245">
        <v>327772.64</v>
      </c>
      <c r="AE58" s="245">
        <v>340883.54559999995</v>
      </c>
      <c r="AF58" s="245"/>
      <c r="AG58" s="245"/>
      <c r="AH58" s="245"/>
      <c r="AI58" s="245"/>
      <c r="AJ58" s="245">
        <v>340883.54559999995</v>
      </c>
      <c r="AK58" s="245">
        <v>1291244.1856</v>
      </c>
      <c r="AL58" s="245">
        <v>0</v>
      </c>
      <c r="AM58" s="245">
        <v>0</v>
      </c>
      <c r="AN58" s="245">
        <v>0</v>
      </c>
      <c r="AO58" s="245">
        <v>0</v>
      </c>
      <c r="AP58" s="343">
        <v>1291244.1856</v>
      </c>
      <c r="AQ58" s="245"/>
      <c r="AR58" s="245"/>
      <c r="AS58" s="245"/>
      <c r="AT58" s="245"/>
      <c r="AU58" s="245"/>
      <c r="AV58" s="245"/>
    </row>
    <row r="59" spans="1:48" s="66" customFormat="1" ht="204.75" thickBot="1">
      <c r="A59" s="63" t="s">
        <v>91</v>
      </c>
      <c r="B59" s="63"/>
      <c r="C59" s="63"/>
      <c r="D59" s="63" t="s">
        <v>97</v>
      </c>
      <c r="E59" s="63" t="s">
        <v>113</v>
      </c>
      <c r="F59" s="63" t="s">
        <v>18</v>
      </c>
      <c r="G59" s="63"/>
      <c r="H59" s="63" t="s">
        <v>118</v>
      </c>
      <c r="I59" s="63" t="s">
        <v>142</v>
      </c>
      <c r="J59" s="63" t="s">
        <v>264</v>
      </c>
      <c r="K59" s="390" t="s">
        <v>553</v>
      </c>
      <c r="L59" s="63"/>
      <c r="M59" s="245">
        <v>435248</v>
      </c>
      <c r="N59" s="245"/>
      <c r="O59" s="245"/>
      <c r="P59" s="245"/>
      <c r="Q59" s="245"/>
      <c r="R59" s="245">
        <v>435248</v>
      </c>
      <c r="S59" s="245">
        <v>117397</v>
      </c>
      <c r="T59" s="245"/>
      <c r="U59" s="245"/>
      <c r="V59" s="245"/>
      <c r="W59" s="245"/>
      <c r="X59" s="245">
        <v>117397</v>
      </c>
      <c r="Y59" s="245">
        <v>648092.21600000001</v>
      </c>
      <c r="Z59" s="245"/>
      <c r="AA59" s="245"/>
      <c r="AB59" s="245"/>
      <c r="AC59" s="245"/>
      <c r="AD59" s="245">
        <v>648092.21600000001</v>
      </c>
      <c r="AE59" s="245">
        <v>2458245.7310000001</v>
      </c>
      <c r="AF59" s="245"/>
      <c r="AG59" s="245"/>
      <c r="AH59" s="245"/>
      <c r="AI59" s="245"/>
      <c r="AJ59" s="245">
        <v>2458245.7310000001</v>
      </c>
      <c r="AK59" s="245">
        <v>3658982.9470000002</v>
      </c>
      <c r="AL59" s="245">
        <v>0</v>
      </c>
      <c r="AM59" s="245">
        <v>0</v>
      </c>
      <c r="AN59" s="245">
        <v>0</v>
      </c>
      <c r="AO59" s="245">
        <v>0</v>
      </c>
      <c r="AP59" s="343">
        <v>3658982.9470000002</v>
      </c>
      <c r="AQ59" s="245"/>
      <c r="AR59" s="245"/>
      <c r="AS59" s="245"/>
      <c r="AT59" s="245"/>
      <c r="AU59" s="245"/>
      <c r="AV59" s="245"/>
    </row>
    <row r="60" spans="1:48" s="66" customFormat="1" ht="102">
      <c r="A60" s="63" t="s">
        <v>92</v>
      </c>
      <c r="B60" s="63"/>
      <c r="C60" s="63"/>
      <c r="D60" s="63" t="s">
        <v>97</v>
      </c>
      <c r="E60" s="63" t="s">
        <v>114</v>
      </c>
      <c r="F60" s="63" t="s">
        <v>18</v>
      </c>
      <c r="G60" s="63"/>
      <c r="H60" s="63" t="s">
        <v>118</v>
      </c>
      <c r="I60" s="63" t="s">
        <v>142</v>
      </c>
      <c r="J60" s="63" t="s">
        <v>265</v>
      </c>
      <c r="K60" s="379" t="s">
        <v>553</v>
      </c>
      <c r="L60" s="63"/>
      <c r="M60" s="245">
        <v>1000000</v>
      </c>
      <c r="N60" s="245"/>
      <c r="O60" s="245"/>
      <c r="P60" s="245"/>
      <c r="Q60" s="245"/>
      <c r="R60" s="245">
        <v>1000000</v>
      </c>
      <c r="S60" s="245">
        <v>1499878.301</v>
      </c>
      <c r="T60" s="245"/>
      <c r="U60" s="245"/>
      <c r="V60" s="245"/>
      <c r="W60" s="245"/>
      <c r="X60" s="245">
        <v>1499878.301</v>
      </c>
      <c r="Y60" s="245">
        <v>1559873.43304</v>
      </c>
      <c r="Z60" s="245"/>
      <c r="AA60" s="245"/>
      <c r="AB60" s="245"/>
      <c r="AC60" s="245"/>
      <c r="AD60" s="245">
        <v>1559873.43304</v>
      </c>
      <c r="AE60" s="245">
        <v>1622268.3703616001</v>
      </c>
      <c r="AF60" s="245"/>
      <c r="AG60" s="245"/>
      <c r="AH60" s="245"/>
      <c r="AI60" s="245"/>
      <c r="AJ60" s="245">
        <v>1622268.3703616001</v>
      </c>
      <c r="AK60" s="245">
        <v>5682020.1044015996</v>
      </c>
      <c r="AL60" s="245">
        <v>0</v>
      </c>
      <c r="AM60" s="245">
        <v>0</v>
      </c>
      <c r="AN60" s="245">
        <v>0</v>
      </c>
      <c r="AO60" s="245">
        <v>0</v>
      </c>
      <c r="AP60" s="343">
        <v>5682020.1044015996</v>
      </c>
      <c r="AQ60" s="245"/>
      <c r="AR60" s="245"/>
      <c r="AS60" s="245"/>
      <c r="AT60" s="245"/>
      <c r="AU60" s="245"/>
      <c r="AV60" s="245"/>
    </row>
    <row r="61" spans="1:48" s="66" customFormat="1" ht="127.5">
      <c r="A61" s="63" t="s">
        <v>94</v>
      </c>
      <c r="B61" s="63"/>
      <c r="C61" s="63"/>
      <c r="D61" s="63" t="s">
        <v>97</v>
      </c>
      <c r="E61" s="63" t="s">
        <v>116</v>
      </c>
      <c r="F61" s="63" t="s">
        <v>121</v>
      </c>
      <c r="G61" s="63" t="s">
        <v>122</v>
      </c>
      <c r="H61" s="63" t="s">
        <v>118</v>
      </c>
      <c r="I61" s="63" t="s">
        <v>142</v>
      </c>
      <c r="J61" s="63"/>
      <c r="K61" s="379" t="s">
        <v>553</v>
      </c>
      <c r="L61" s="63"/>
      <c r="M61" s="245"/>
      <c r="N61" s="245"/>
      <c r="O61" s="245"/>
      <c r="P61" s="245">
        <v>654500</v>
      </c>
      <c r="Q61" s="245"/>
      <c r="R61" s="245">
        <v>654500</v>
      </c>
      <c r="S61" s="245"/>
      <c r="T61" s="245"/>
      <c r="U61" s="245"/>
      <c r="V61" s="245">
        <v>654500</v>
      </c>
      <c r="W61" s="245"/>
      <c r="X61" s="245">
        <v>654500</v>
      </c>
      <c r="Y61" s="245"/>
      <c r="Z61" s="245"/>
      <c r="AA61" s="245"/>
      <c r="AB61" s="245">
        <v>654500</v>
      </c>
      <c r="AC61" s="245"/>
      <c r="AD61" s="245">
        <v>654500</v>
      </c>
      <c r="AE61" s="245"/>
      <c r="AF61" s="245"/>
      <c r="AG61" s="245"/>
      <c r="AH61" s="245">
        <v>654500</v>
      </c>
      <c r="AI61" s="245"/>
      <c r="AJ61" s="245">
        <v>654500</v>
      </c>
      <c r="AK61" s="245">
        <v>0</v>
      </c>
      <c r="AL61" s="245">
        <v>0</v>
      </c>
      <c r="AM61" s="245">
        <v>0</v>
      </c>
      <c r="AN61" s="245">
        <v>2618000</v>
      </c>
      <c r="AO61" s="245">
        <v>0</v>
      </c>
      <c r="AP61" s="343">
        <v>2618000</v>
      </c>
      <c r="AQ61" s="245"/>
      <c r="AR61" s="245"/>
      <c r="AS61" s="245"/>
      <c r="AT61" s="245">
        <v>654500</v>
      </c>
      <c r="AU61" s="245"/>
      <c r="AV61" s="245">
        <f>+AU61+AT61+AS61+AR61+AQ61</f>
        <v>654500</v>
      </c>
    </row>
    <row r="62" spans="1:48" s="66" customFormat="1" ht="25.5">
      <c r="A62" s="63" t="s">
        <v>95</v>
      </c>
      <c r="B62" s="63"/>
      <c r="C62" s="63"/>
      <c r="D62" s="63"/>
      <c r="E62" s="63"/>
      <c r="F62" s="63"/>
      <c r="G62" s="63"/>
      <c r="H62" s="63"/>
      <c r="I62" s="63"/>
      <c r="J62" s="63"/>
      <c r="K62" s="63"/>
      <c r="L62" s="63"/>
      <c r="M62" s="245"/>
      <c r="N62" s="245"/>
      <c r="O62" s="245"/>
      <c r="P62" s="245"/>
      <c r="Q62" s="245"/>
      <c r="R62" s="245"/>
      <c r="S62" s="245"/>
      <c r="T62" s="245"/>
      <c r="U62" s="245"/>
      <c r="V62" s="245"/>
      <c r="W62" s="245"/>
      <c r="X62" s="245"/>
      <c r="Y62" s="245"/>
      <c r="Z62" s="245"/>
      <c r="AA62" s="245"/>
      <c r="AB62" s="245"/>
      <c r="AC62" s="245"/>
      <c r="AD62" s="245"/>
      <c r="AE62" s="245"/>
      <c r="AF62" s="245"/>
      <c r="AG62" s="245"/>
      <c r="AH62" s="245"/>
      <c r="AI62" s="245"/>
      <c r="AJ62" s="245"/>
      <c r="AK62" s="245"/>
      <c r="AL62" s="245"/>
      <c r="AM62" s="245"/>
      <c r="AN62" s="245"/>
      <c r="AO62" s="245"/>
      <c r="AP62" s="343"/>
      <c r="AQ62" s="245"/>
      <c r="AR62" s="245"/>
      <c r="AS62" s="245"/>
      <c r="AT62" s="245"/>
      <c r="AU62" s="245"/>
      <c r="AV62" s="245"/>
    </row>
    <row r="63" spans="1:48" s="66" customFormat="1" ht="127.5">
      <c r="A63" s="63" t="s">
        <v>96</v>
      </c>
      <c r="B63" s="63"/>
      <c r="C63" s="63"/>
      <c r="D63" s="63" t="s">
        <v>97</v>
      </c>
      <c r="E63" s="63" t="s">
        <v>117</v>
      </c>
      <c r="F63" s="63" t="s">
        <v>18</v>
      </c>
      <c r="G63" s="63"/>
      <c r="H63" s="63" t="s">
        <v>118</v>
      </c>
      <c r="I63" s="63" t="s">
        <v>142</v>
      </c>
      <c r="J63" s="63" t="s">
        <v>266</v>
      </c>
      <c r="K63" s="379" t="s">
        <v>553</v>
      </c>
      <c r="L63" s="63"/>
      <c r="M63" s="109">
        <v>6973723</v>
      </c>
      <c r="N63" s="109"/>
      <c r="O63" s="109"/>
      <c r="P63" s="109"/>
      <c r="Q63" s="109"/>
      <c r="R63" s="109">
        <v>6973723</v>
      </c>
      <c r="S63" s="109">
        <v>7447066.4000000004</v>
      </c>
      <c r="T63" s="109"/>
      <c r="U63" s="109"/>
      <c r="V63" s="109"/>
      <c r="W63" s="109"/>
      <c r="X63" s="109">
        <v>7447066.4000000004</v>
      </c>
      <c r="Y63" s="109">
        <v>7744949.0559999999</v>
      </c>
      <c r="Z63" s="109"/>
      <c r="AA63" s="109"/>
      <c r="AB63" s="109"/>
      <c r="AC63" s="109"/>
      <c r="AD63" s="109">
        <v>7744949.0559999999</v>
      </c>
      <c r="AE63" s="109">
        <v>8054747.0182400011</v>
      </c>
      <c r="AF63" s="109"/>
      <c r="AG63" s="109"/>
      <c r="AH63" s="109"/>
      <c r="AI63" s="109"/>
      <c r="AJ63" s="109">
        <v>8054747.0182400011</v>
      </c>
      <c r="AK63" s="109">
        <v>30220485.474240001</v>
      </c>
      <c r="AL63" s="109">
        <v>0</v>
      </c>
      <c r="AM63" s="109">
        <v>0</v>
      </c>
      <c r="AN63" s="109">
        <v>0</v>
      </c>
      <c r="AO63" s="109">
        <v>0</v>
      </c>
      <c r="AP63" s="345">
        <v>30220485.474240001</v>
      </c>
      <c r="AQ63" s="385"/>
      <c r="AR63" s="384"/>
      <c r="AS63" s="384"/>
      <c r="AT63" s="384"/>
      <c r="AU63" s="384"/>
      <c r="AV63" s="384"/>
    </row>
    <row r="64" spans="1:48" s="66" customFormat="1">
      <c r="A64" s="74" t="s">
        <v>191</v>
      </c>
      <c r="B64" s="74"/>
      <c r="C64" s="74"/>
      <c r="D64" s="74"/>
      <c r="E64" s="74"/>
      <c r="F64" s="74"/>
      <c r="G64" s="74"/>
      <c r="H64" s="74"/>
      <c r="I64" s="74"/>
      <c r="J64" s="74"/>
      <c r="K64" s="74"/>
      <c r="L64" s="74"/>
      <c r="M64" s="75">
        <f>SUM(M47:M63)</f>
        <v>28856116.999999974</v>
      </c>
      <c r="N64" s="75">
        <f>SUM(N47:N63)</f>
        <v>0</v>
      </c>
      <c r="O64" s="75">
        <f>SUM(O47:O63)</f>
        <v>0</v>
      </c>
      <c r="P64" s="75">
        <f>SUM(P47:P63)</f>
        <v>654500</v>
      </c>
      <c r="Q64" s="75">
        <f>SUM(Q47:Q63)</f>
        <v>0</v>
      </c>
      <c r="R64" s="75">
        <f>SUM(M64:Q64)</f>
        <v>29510616.999999974</v>
      </c>
      <c r="S64" s="75">
        <f>SUM(S47:S63)</f>
        <v>25338093.723810069</v>
      </c>
      <c r="T64" s="75">
        <f>SUM(T47:T63)</f>
        <v>0</v>
      </c>
      <c r="U64" s="75">
        <f>SUM(U47:U63)</f>
        <v>0</v>
      </c>
      <c r="V64" s="75">
        <f>SUM(V47:V63)</f>
        <v>654500</v>
      </c>
      <c r="W64" s="75">
        <f>SUM(W47:W63)</f>
        <v>0</v>
      </c>
      <c r="X64" s="75">
        <f>SUM(S64:W64)</f>
        <v>25992593.723810069</v>
      </c>
      <c r="Y64" s="75">
        <f>SUM(Y47:Y63)</f>
        <v>25561537.768930018</v>
      </c>
      <c r="Z64" s="75">
        <f>SUM(Z47:Z63)</f>
        <v>0</v>
      </c>
      <c r="AA64" s="75">
        <f>SUM(AA47:AA63)</f>
        <v>0</v>
      </c>
      <c r="AB64" s="75">
        <f>SUM(AB47:AB63)</f>
        <v>654500</v>
      </c>
      <c r="AC64" s="75">
        <f>SUM(AC47:AC63)</f>
        <v>0</v>
      </c>
      <c r="AD64" s="75">
        <f>SUM(Y64:AC64)</f>
        <v>26216037.768930018</v>
      </c>
      <c r="AE64" s="75">
        <f>SUM(AE47:AE63)</f>
        <v>28503216.280698162</v>
      </c>
      <c r="AF64" s="75">
        <f t="shared" ref="AF64:AO64" si="7">SUM(AF47:AF63)</f>
        <v>0</v>
      </c>
      <c r="AG64" s="75">
        <f t="shared" si="7"/>
        <v>0</v>
      </c>
      <c r="AH64" s="75">
        <f t="shared" si="7"/>
        <v>654500</v>
      </c>
      <c r="AI64" s="75">
        <f t="shared" si="7"/>
        <v>0</v>
      </c>
      <c r="AJ64" s="75">
        <f>SUM(AE64:AI64)</f>
        <v>29157716.280698162</v>
      </c>
      <c r="AK64" s="75">
        <f t="shared" si="7"/>
        <v>108258964.77343822</v>
      </c>
      <c r="AL64" s="75">
        <f t="shared" si="7"/>
        <v>0</v>
      </c>
      <c r="AM64" s="75">
        <f t="shared" si="7"/>
        <v>0</v>
      </c>
      <c r="AN64" s="75">
        <f t="shared" si="7"/>
        <v>2618000</v>
      </c>
      <c r="AO64" s="75">
        <f t="shared" si="7"/>
        <v>0</v>
      </c>
      <c r="AP64" s="346">
        <f>SUM(AK64:AO64)</f>
        <v>110876964.77343822</v>
      </c>
      <c r="AQ64" s="133">
        <f t="shared" ref="AQ64:AV64" si="8">SUM(AQ47:AQ63)</f>
        <v>0</v>
      </c>
      <c r="AR64" s="133">
        <f t="shared" si="8"/>
        <v>0</v>
      </c>
      <c r="AS64" s="133">
        <f t="shared" si="8"/>
        <v>0</v>
      </c>
      <c r="AT64" s="133">
        <f t="shared" si="8"/>
        <v>654500</v>
      </c>
      <c r="AU64" s="133">
        <f t="shared" si="8"/>
        <v>0</v>
      </c>
      <c r="AV64" s="133">
        <f t="shared" si="8"/>
        <v>654500</v>
      </c>
    </row>
    <row r="65" spans="1:48" s="66" customFormat="1">
      <c r="A65" s="53" t="s">
        <v>60</v>
      </c>
      <c r="B65" s="54"/>
      <c r="C65" s="54"/>
      <c r="D65" s="53"/>
      <c r="E65" s="53"/>
      <c r="F65" s="64"/>
      <c r="G65" s="64"/>
      <c r="H65" s="53"/>
      <c r="I65" s="53"/>
      <c r="J65" s="53"/>
      <c r="K65" s="53"/>
      <c r="L65" s="53"/>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347"/>
      <c r="AQ65" s="409"/>
      <c r="AR65" s="409"/>
      <c r="AS65" s="409"/>
      <c r="AT65" s="409"/>
      <c r="AU65" s="409"/>
      <c r="AV65" s="409"/>
    </row>
    <row r="66" spans="1:48" s="66" customFormat="1" ht="25.5">
      <c r="A66" s="10" t="s">
        <v>269</v>
      </c>
      <c r="B66" s="10"/>
      <c r="C66" s="10"/>
      <c r="D66" s="10"/>
      <c r="E66" s="10"/>
      <c r="F66" s="10"/>
      <c r="G66" s="10"/>
      <c r="H66" s="10"/>
      <c r="I66" s="10"/>
      <c r="J66" s="10"/>
      <c r="K66" s="10"/>
      <c r="L66" s="10"/>
      <c r="M66" s="131"/>
      <c r="N66" s="131"/>
      <c r="O66" s="131"/>
      <c r="P66" s="131"/>
      <c r="Q66" s="131"/>
      <c r="R66" s="131"/>
      <c r="S66" s="131"/>
      <c r="T66" s="131"/>
      <c r="U66" s="131"/>
      <c r="V66" s="131"/>
      <c r="W66" s="131"/>
      <c r="X66" s="131"/>
      <c r="Y66" s="131"/>
      <c r="Z66" s="131"/>
      <c r="AA66" s="131"/>
      <c r="AB66" s="131"/>
      <c r="AC66" s="131"/>
      <c r="AD66" s="131"/>
      <c r="AE66" s="131"/>
      <c r="AF66" s="131"/>
      <c r="AG66" s="131"/>
      <c r="AH66" s="131"/>
      <c r="AI66" s="131"/>
      <c r="AJ66" s="131"/>
      <c r="AK66" s="131"/>
      <c r="AL66" s="131"/>
      <c r="AM66" s="131"/>
      <c r="AN66" s="131"/>
      <c r="AO66" s="131"/>
      <c r="AP66" s="344"/>
      <c r="AQ66" s="8"/>
      <c r="AR66" s="8"/>
      <c r="AS66" s="8"/>
      <c r="AT66" s="8"/>
      <c r="AU66" s="8"/>
      <c r="AV66" s="8"/>
    </row>
    <row r="67" spans="1:48" s="66" customFormat="1" ht="25.5">
      <c r="A67" s="10" t="s">
        <v>270</v>
      </c>
      <c r="B67" s="10"/>
      <c r="C67" s="10"/>
      <c r="D67" s="10"/>
      <c r="E67" s="10"/>
      <c r="F67" s="10"/>
      <c r="G67" s="10"/>
      <c r="H67" s="10"/>
      <c r="I67" s="10"/>
      <c r="J67" s="10"/>
      <c r="K67" s="10"/>
      <c r="L67" s="10"/>
      <c r="M67" s="131"/>
      <c r="N67" s="131"/>
      <c r="O67" s="131"/>
      <c r="P67" s="131"/>
      <c r="Q67" s="131"/>
      <c r="R67" s="131"/>
      <c r="S67" s="131"/>
      <c r="T67" s="131"/>
      <c r="U67" s="131"/>
      <c r="V67" s="131"/>
      <c r="W67" s="131"/>
      <c r="X67" s="131"/>
      <c r="Y67" s="131"/>
      <c r="Z67" s="131"/>
      <c r="AA67" s="131"/>
      <c r="AB67" s="131"/>
      <c r="AC67" s="131"/>
      <c r="AD67" s="131"/>
      <c r="AE67" s="131"/>
      <c r="AF67" s="131"/>
      <c r="AG67" s="131"/>
      <c r="AH67" s="131"/>
      <c r="AI67" s="131"/>
      <c r="AJ67" s="131"/>
      <c r="AK67" s="131"/>
      <c r="AL67" s="131"/>
      <c r="AM67" s="131"/>
      <c r="AN67" s="131"/>
      <c r="AO67" s="131"/>
      <c r="AP67" s="344"/>
      <c r="AQ67" s="8"/>
      <c r="AR67" s="414">
        <v>1000</v>
      </c>
      <c r="AS67" s="414">
        <v>1000</v>
      </c>
      <c r="AT67" s="414">
        <v>1000</v>
      </c>
      <c r="AU67" s="414">
        <v>1000</v>
      </c>
      <c r="AV67" s="8"/>
    </row>
    <row r="68" spans="1:48" s="66" customFormat="1" ht="174" customHeight="1">
      <c r="A68" s="10" t="s">
        <v>46</v>
      </c>
      <c r="B68" s="10"/>
      <c r="C68" s="10"/>
      <c r="D68" s="10" t="s">
        <v>60</v>
      </c>
      <c r="E68" s="10" t="s">
        <v>271</v>
      </c>
      <c r="F68" s="10" t="s">
        <v>47</v>
      </c>
      <c r="G68" s="10"/>
      <c r="H68" s="10" t="s">
        <v>48</v>
      </c>
      <c r="I68" s="10" t="s">
        <v>272</v>
      </c>
      <c r="J68" s="10"/>
      <c r="K68" s="383" t="s">
        <v>554</v>
      </c>
      <c r="L68" s="10"/>
      <c r="M68" s="109">
        <v>1332958</v>
      </c>
      <c r="N68" s="110"/>
      <c r="O68" s="110"/>
      <c r="P68" s="110"/>
      <c r="Q68" s="110"/>
      <c r="R68" s="109">
        <f>SUM(M68:Q68)</f>
        <v>1332958</v>
      </c>
      <c r="S68" s="109">
        <v>1592191</v>
      </c>
      <c r="T68" s="110"/>
      <c r="U68" s="110"/>
      <c r="V68" s="110"/>
      <c r="W68" s="110"/>
      <c r="X68" s="109">
        <f>SUM(S68:W68)</f>
        <v>1592191</v>
      </c>
      <c r="Y68" s="109">
        <v>1636118</v>
      </c>
      <c r="Z68" s="110"/>
      <c r="AA68" s="110"/>
      <c r="AB68" s="110"/>
      <c r="AC68" s="110"/>
      <c r="AD68" s="109">
        <f>SUM(Y68:AC68)</f>
        <v>1636118</v>
      </c>
      <c r="AE68" s="109">
        <v>1231366</v>
      </c>
      <c r="AF68" s="110"/>
      <c r="AG68" s="110"/>
      <c r="AH68" s="110"/>
      <c r="AI68" s="110"/>
      <c r="AJ68" s="109">
        <f>SUM(AE68:AI68)</f>
        <v>1231366</v>
      </c>
      <c r="AK68" s="109">
        <f>M68+S68+Y68+AE68</f>
        <v>5792633</v>
      </c>
      <c r="AL68" s="109">
        <f>N68+T68+Z68+AF68</f>
        <v>0</v>
      </c>
      <c r="AM68" s="109">
        <f>O68+U68+AA68+AG68</f>
        <v>0</v>
      </c>
      <c r="AN68" s="109">
        <f>P68+V68+AB68+AH68</f>
        <v>0</v>
      </c>
      <c r="AO68" s="109">
        <f>Q68+W68+AC68+AI68</f>
        <v>0</v>
      </c>
      <c r="AP68" s="345">
        <f>SUM(AK68:AO68)</f>
        <v>5792633</v>
      </c>
      <c r="AQ68" s="8"/>
      <c r="AR68" s="414">
        <v>2013</v>
      </c>
      <c r="AS68" s="414">
        <v>2014</v>
      </c>
      <c r="AT68" s="414">
        <v>2015</v>
      </c>
      <c r="AU68" s="414">
        <v>2016</v>
      </c>
      <c r="AV68" s="8"/>
    </row>
    <row r="69" spans="1:48" s="66" customFormat="1" ht="178.5" customHeight="1">
      <c r="A69" s="10" t="s">
        <v>49</v>
      </c>
      <c r="B69" s="10"/>
      <c r="C69" s="10"/>
      <c r="D69" s="10" t="s">
        <v>60</v>
      </c>
      <c r="E69" s="10" t="s">
        <v>50</v>
      </c>
      <c r="F69" s="10" t="s">
        <v>141</v>
      </c>
      <c r="G69" s="10" t="s">
        <v>51</v>
      </c>
      <c r="H69" s="10" t="s">
        <v>48</v>
      </c>
      <c r="I69" s="10" t="s">
        <v>272</v>
      </c>
      <c r="J69" s="10"/>
      <c r="K69" s="379" t="s">
        <v>554</v>
      </c>
      <c r="L69" s="10"/>
      <c r="M69" s="131">
        <v>75000</v>
      </c>
      <c r="N69" s="131"/>
      <c r="O69" s="131"/>
      <c r="P69" s="131">
        <v>22500</v>
      </c>
      <c r="Q69" s="131">
        <v>100000</v>
      </c>
      <c r="R69" s="109">
        <f t="shared" ref="R69:R76" si="9">SUM(M69:Q69)</f>
        <v>197500</v>
      </c>
      <c r="S69" s="131">
        <v>75000</v>
      </c>
      <c r="T69" s="131"/>
      <c r="U69" s="131"/>
      <c r="V69" s="131">
        <v>1125000</v>
      </c>
      <c r="W69" s="131">
        <v>100000</v>
      </c>
      <c r="X69" s="109">
        <f t="shared" ref="X69:X77" si="10">SUM(S69:W69)</f>
        <v>1300000</v>
      </c>
      <c r="Y69" s="131">
        <v>75000</v>
      </c>
      <c r="Z69" s="131"/>
      <c r="AA69" s="131"/>
      <c r="AB69" s="131"/>
      <c r="AC69" s="131">
        <v>100000</v>
      </c>
      <c r="AD69" s="109">
        <f t="shared" ref="AD69:AD76" si="11">SUM(Y69:AC69)</f>
        <v>175000</v>
      </c>
      <c r="AE69" s="131">
        <v>75000</v>
      </c>
      <c r="AF69" s="131"/>
      <c r="AG69" s="131"/>
      <c r="AH69" s="131"/>
      <c r="AI69" s="131">
        <v>100000</v>
      </c>
      <c r="AJ69" s="109">
        <f t="shared" ref="AJ69:AJ77" si="12">SUM(AE69:AI69)</f>
        <v>175000</v>
      </c>
      <c r="AK69" s="109">
        <f t="shared" ref="AK69:AK76" si="13">M69+S69+Y69+AE69</f>
        <v>300000</v>
      </c>
      <c r="AL69" s="109">
        <f t="shared" ref="AL69:AL76" si="14">N69+T69+Z69+AF69</f>
        <v>0</v>
      </c>
      <c r="AM69" s="109">
        <f t="shared" ref="AM69:AM76" si="15">O69+U69+AA69+AG69</f>
        <v>0</v>
      </c>
      <c r="AN69" s="109">
        <f t="shared" ref="AN69:AN76" si="16">P69+V69+AB69+AH69</f>
        <v>1147500</v>
      </c>
      <c r="AO69" s="109">
        <f t="shared" ref="AO69:AO76" si="17">Q69+W69+AC69+AI69</f>
        <v>400000</v>
      </c>
      <c r="AP69" s="345">
        <f t="shared" ref="AP69:AP77" si="18">SUM(AK69:AO69)</f>
        <v>1847500</v>
      </c>
      <c r="AQ69" s="8"/>
      <c r="AR69" s="412">
        <f>R68+R69+R72</f>
        <v>3378041.5</v>
      </c>
      <c r="AS69" s="412">
        <f>X68+X69+X72</f>
        <v>4747691</v>
      </c>
      <c r="AT69" s="412">
        <f>AD68+AD69+AD72</f>
        <v>3670868</v>
      </c>
      <c r="AU69" s="412">
        <f>AJ68+AJ69+AJ72</f>
        <v>3270578.5</v>
      </c>
      <c r="AV69" s="8"/>
    </row>
    <row r="70" spans="1:48" s="66" customFormat="1" ht="25.5">
      <c r="A70" s="10" t="s">
        <v>273</v>
      </c>
      <c r="B70" s="10"/>
      <c r="C70" s="10"/>
      <c r="D70" s="10"/>
      <c r="E70" s="10"/>
      <c r="F70" s="10"/>
      <c r="G70" s="10"/>
      <c r="H70" s="10"/>
      <c r="I70" s="10"/>
      <c r="J70" s="10"/>
      <c r="K70" s="10"/>
      <c r="L70" s="10"/>
      <c r="M70" s="131"/>
      <c r="N70" s="131"/>
      <c r="O70" s="131"/>
      <c r="P70" s="131"/>
      <c r="Q70" s="131"/>
      <c r="R70" s="109">
        <f t="shared" si="9"/>
        <v>0</v>
      </c>
      <c r="S70" s="131"/>
      <c r="T70" s="131"/>
      <c r="U70" s="131"/>
      <c r="V70" s="131"/>
      <c r="W70" s="131"/>
      <c r="X70" s="109">
        <f t="shared" si="10"/>
        <v>0</v>
      </c>
      <c r="Y70" s="131"/>
      <c r="Z70" s="131"/>
      <c r="AA70" s="131"/>
      <c r="AB70" s="131"/>
      <c r="AC70" s="131"/>
      <c r="AD70" s="109">
        <f t="shared" si="11"/>
        <v>0</v>
      </c>
      <c r="AE70" s="131"/>
      <c r="AF70" s="131"/>
      <c r="AG70" s="131"/>
      <c r="AH70" s="131"/>
      <c r="AI70" s="131"/>
      <c r="AJ70" s="109">
        <f t="shared" si="12"/>
        <v>0</v>
      </c>
      <c r="AK70" s="109">
        <f t="shared" si="13"/>
        <v>0</v>
      </c>
      <c r="AL70" s="109">
        <f t="shared" si="14"/>
        <v>0</v>
      </c>
      <c r="AM70" s="109">
        <f t="shared" si="15"/>
        <v>0</v>
      </c>
      <c r="AN70" s="109">
        <f t="shared" si="16"/>
        <v>0</v>
      </c>
      <c r="AO70" s="109">
        <f t="shared" si="17"/>
        <v>0</v>
      </c>
      <c r="AP70" s="345">
        <f t="shared" si="18"/>
        <v>0</v>
      </c>
      <c r="AQ70" s="8"/>
      <c r="AR70" s="359">
        <f>AR69/AR67</f>
        <v>3378.0414999999998</v>
      </c>
      <c r="AS70" s="359">
        <f>AS69/AS67</f>
        <v>4747.6909999999998</v>
      </c>
      <c r="AT70" s="359">
        <f>AT69/AT67</f>
        <v>3670.8679999999999</v>
      </c>
      <c r="AU70" s="359">
        <f>AU69/AU67</f>
        <v>3270.5785000000001</v>
      </c>
      <c r="AV70" s="8"/>
    </row>
    <row r="71" spans="1:48" s="66" customFormat="1" ht="38.25">
      <c r="A71" s="10" t="s">
        <v>52</v>
      </c>
      <c r="B71" s="10"/>
      <c r="C71" s="10"/>
      <c r="D71" s="10"/>
      <c r="E71" s="10"/>
      <c r="F71" s="10"/>
      <c r="G71" s="10"/>
      <c r="H71" s="10"/>
      <c r="I71" s="10"/>
      <c r="J71" s="10"/>
      <c r="K71" s="10"/>
      <c r="L71" s="10"/>
      <c r="M71" s="131"/>
      <c r="N71" s="131"/>
      <c r="O71" s="131"/>
      <c r="P71" s="131"/>
      <c r="Q71" s="131"/>
      <c r="R71" s="109">
        <f t="shared" si="9"/>
        <v>0</v>
      </c>
      <c r="S71" s="131"/>
      <c r="T71" s="131"/>
      <c r="U71" s="131"/>
      <c r="V71" s="131"/>
      <c r="W71" s="131"/>
      <c r="X71" s="109">
        <f t="shared" si="10"/>
        <v>0</v>
      </c>
      <c r="Y71" s="131"/>
      <c r="Z71" s="131"/>
      <c r="AA71" s="131"/>
      <c r="AB71" s="131"/>
      <c r="AC71" s="131"/>
      <c r="AD71" s="109">
        <f t="shared" si="11"/>
        <v>0</v>
      </c>
      <c r="AE71" s="131"/>
      <c r="AF71" s="131"/>
      <c r="AG71" s="131"/>
      <c r="AH71" s="131"/>
      <c r="AI71" s="131"/>
      <c r="AJ71" s="109">
        <f t="shared" si="12"/>
        <v>0</v>
      </c>
      <c r="AK71" s="109">
        <f t="shared" si="13"/>
        <v>0</v>
      </c>
      <c r="AL71" s="109">
        <f t="shared" si="14"/>
        <v>0</v>
      </c>
      <c r="AM71" s="109">
        <f t="shared" si="15"/>
        <v>0</v>
      </c>
      <c r="AN71" s="109">
        <f t="shared" si="16"/>
        <v>0</v>
      </c>
      <c r="AO71" s="109">
        <f t="shared" si="17"/>
        <v>0</v>
      </c>
      <c r="AP71" s="345">
        <f t="shared" si="18"/>
        <v>0</v>
      </c>
      <c r="AQ71" s="8"/>
      <c r="AR71" s="8"/>
      <c r="AS71" s="8"/>
      <c r="AT71" s="8"/>
      <c r="AU71" s="8"/>
      <c r="AV71" s="8"/>
    </row>
    <row r="72" spans="1:48" s="66" customFormat="1" ht="170.25" customHeight="1">
      <c r="A72" s="10" t="s">
        <v>53</v>
      </c>
      <c r="B72" s="10"/>
      <c r="C72" s="10"/>
      <c r="D72" s="10" t="s">
        <v>60</v>
      </c>
      <c r="E72" s="10" t="s">
        <v>54</v>
      </c>
      <c r="F72" s="10" t="s">
        <v>55</v>
      </c>
      <c r="G72" s="10" t="s">
        <v>274</v>
      </c>
      <c r="H72" s="10" t="s">
        <v>48</v>
      </c>
      <c r="I72" s="10" t="s">
        <v>275</v>
      </c>
      <c r="J72" s="10"/>
      <c r="K72" s="379" t="s">
        <v>554</v>
      </c>
      <c r="L72" s="10"/>
      <c r="M72" s="194">
        <v>1777083.5</v>
      </c>
      <c r="N72" s="194"/>
      <c r="O72" s="194"/>
      <c r="P72" s="194">
        <v>20500</v>
      </c>
      <c r="Q72" s="194">
        <v>50000</v>
      </c>
      <c r="R72" s="109">
        <f>SUM(M72:Q72)</f>
        <v>1847583.5</v>
      </c>
      <c r="S72" s="194">
        <v>1785000</v>
      </c>
      <c r="T72" s="194"/>
      <c r="U72" s="194"/>
      <c r="V72" s="194">
        <v>20500</v>
      </c>
      <c r="W72" s="194">
        <v>50000</v>
      </c>
      <c r="X72" s="109">
        <f t="shared" si="10"/>
        <v>1855500</v>
      </c>
      <c r="Y72" s="194">
        <v>1789250</v>
      </c>
      <c r="Z72" s="194"/>
      <c r="AA72" s="194"/>
      <c r="AB72" s="194">
        <v>20500</v>
      </c>
      <c r="AC72" s="194">
        <v>50000</v>
      </c>
      <c r="AD72" s="109">
        <f t="shared" si="11"/>
        <v>1859750</v>
      </c>
      <c r="AE72" s="194">
        <v>1793712.5</v>
      </c>
      <c r="AF72" s="194"/>
      <c r="AG72" s="194"/>
      <c r="AH72" s="194">
        <v>20500</v>
      </c>
      <c r="AI72" s="194">
        <v>50000</v>
      </c>
      <c r="AJ72" s="109">
        <f t="shared" si="12"/>
        <v>1864212.5</v>
      </c>
      <c r="AK72" s="195">
        <f t="shared" si="13"/>
        <v>7145046</v>
      </c>
      <c r="AL72" s="195">
        <f t="shared" si="14"/>
        <v>0</v>
      </c>
      <c r="AM72" s="195">
        <f t="shared" si="15"/>
        <v>0</v>
      </c>
      <c r="AN72" s="195">
        <f t="shared" si="16"/>
        <v>82000</v>
      </c>
      <c r="AO72" s="195">
        <f t="shared" si="17"/>
        <v>200000</v>
      </c>
      <c r="AP72" s="348">
        <f t="shared" si="18"/>
        <v>7427046</v>
      </c>
      <c r="AQ72" s="8"/>
      <c r="AR72" s="8"/>
      <c r="AS72" s="8"/>
      <c r="AT72" s="8"/>
      <c r="AU72" s="8"/>
      <c r="AV72" s="8"/>
    </row>
    <row r="73" spans="1:48" s="66" customFormat="1" ht="38.25">
      <c r="A73" s="10" t="s">
        <v>276</v>
      </c>
      <c r="B73" s="10"/>
      <c r="C73" s="10"/>
      <c r="D73" s="10"/>
      <c r="E73" s="10"/>
      <c r="F73" s="10"/>
      <c r="G73" s="10"/>
      <c r="H73" s="10"/>
      <c r="I73" s="10"/>
      <c r="J73" s="10"/>
      <c r="K73" s="10"/>
      <c r="L73" s="10"/>
      <c r="M73" s="131"/>
      <c r="N73" s="131"/>
      <c r="O73" s="131"/>
      <c r="P73" s="131"/>
      <c r="Q73" s="131"/>
      <c r="R73" s="109">
        <f t="shared" si="9"/>
        <v>0</v>
      </c>
      <c r="S73" s="131"/>
      <c r="T73" s="131"/>
      <c r="U73" s="131"/>
      <c r="V73" s="131"/>
      <c r="W73" s="131"/>
      <c r="X73" s="109">
        <f t="shared" si="10"/>
        <v>0</v>
      </c>
      <c r="Y73" s="131"/>
      <c r="Z73" s="131"/>
      <c r="AA73" s="131"/>
      <c r="AB73" s="131"/>
      <c r="AC73" s="131"/>
      <c r="AD73" s="109">
        <f t="shared" si="11"/>
        <v>0</v>
      </c>
      <c r="AE73" s="131"/>
      <c r="AF73" s="131"/>
      <c r="AG73" s="131"/>
      <c r="AH73" s="131"/>
      <c r="AI73" s="131"/>
      <c r="AJ73" s="109">
        <f t="shared" si="12"/>
        <v>0</v>
      </c>
      <c r="AK73" s="109">
        <f t="shared" si="13"/>
        <v>0</v>
      </c>
      <c r="AL73" s="109">
        <f t="shared" si="14"/>
        <v>0</v>
      </c>
      <c r="AM73" s="109">
        <f t="shared" si="15"/>
        <v>0</v>
      </c>
      <c r="AN73" s="109">
        <f t="shared" si="16"/>
        <v>0</v>
      </c>
      <c r="AO73" s="109">
        <f t="shared" si="17"/>
        <v>0</v>
      </c>
      <c r="AP73" s="345">
        <f t="shared" si="18"/>
        <v>0</v>
      </c>
      <c r="AQ73" s="8"/>
      <c r="AR73" s="8">
        <v>1000</v>
      </c>
      <c r="AS73" s="8">
        <v>1000</v>
      </c>
      <c r="AT73" s="8">
        <v>1000</v>
      </c>
      <c r="AU73" s="8">
        <v>1000</v>
      </c>
      <c r="AV73" s="8"/>
    </row>
    <row r="74" spans="1:48" s="66" customFormat="1" ht="38.25">
      <c r="A74" s="10" t="s">
        <v>52</v>
      </c>
      <c r="B74" s="10"/>
      <c r="C74" s="10"/>
      <c r="D74" s="10"/>
      <c r="E74" s="10"/>
      <c r="F74" s="10"/>
      <c r="G74" s="10"/>
      <c r="H74" s="10"/>
      <c r="I74" s="10"/>
      <c r="J74" s="10"/>
      <c r="K74" s="10"/>
      <c r="L74" s="10"/>
      <c r="M74" s="131"/>
      <c r="N74" s="131"/>
      <c r="O74" s="131"/>
      <c r="P74" s="131"/>
      <c r="Q74" s="131"/>
      <c r="R74" s="109">
        <f t="shared" si="9"/>
        <v>0</v>
      </c>
      <c r="S74" s="131"/>
      <c r="T74" s="131"/>
      <c r="U74" s="131"/>
      <c r="V74" s="131"/>
      <c r="W74" s="131"/>
      <c r="X74" s="109">
        <f t="shared" si="10"/>
        <v>0</v>
      </c>
      <c r="Y74" s="131"/>
      <c r="Z74" s="131"/>
      <c r="AA74" s="131"/>
      <c r="AB74" s="131"/>
      <c r="AC74" s="131"/>
      <c r="AD74" s="109">
        <f t="shared" si="11"/>
        <v>0</v>
      </c>
      <c r="AE74" s="131"/>
      <c r="AF74" s="131"/>
      <c r="AG74" s="131"/>
      <c r="AH74" s="131"/>
      <c r="AI74" s="131"/>
      <c r="AJ74" s="109">
        <f t="shared" si="12"/>
        <v>0</v>
      </c>
      <c r="AK74" s="109">
        <f t="shared" si="13"/>
        <v>0</v>
      </c>
      <c r="AL74" s="109">
        <f t="shared" si="14"/>
        <v>0</v>
      </c>
      <c r="AM74" s="109">
        <f t="shared" si="15"/>
        <v>0</v>
      </c>
      <c r="AN74" s="109">
        <f t="shared" si="16"/>
        <v>0</v>
      </c>
      <c r="AO74" s="109">
        <f t="shared" si="17"/>
        <v>0</v>
      </c>
      <c r="AP74" s="345">
        <f t="shared" si="18"/>
        <v>0</v>
      </c>
      <c r="AQ74" s="8"/>
      <c r="AR74" s="8"/>
      <c r="AS74" s="8"/>
      <c r="AT74" s="8"/>
      <c r="AU74" s="8"/>
      <c r="AV74" s="8"/>
    </row>
    <row r="75" spans="1:48" s="66" customFormat="1" ht="25.5">
      <c r="A75" s="10" t="s">
        <v>56</v>
      </c>
      <c r="B75" s="10"/>
      <c r="C75" s="10"/>
      <c r="D75" s="10" t="s">
        <v>60</v>
      </c>
      <c r="E75" s="10" t="s">
        <v>57</v>
      </c>
      <c r="F75" s="10" t="s">
        <v>47</v>
      </c>
      <c r="G75" s="10"/>
      <c r="H75" s="10" t="s">
        <v>48</v>
      </c>
      <c r="I75" s="10" t="s">
        <v>277</v>
      </c>
      <c r="J75" s="10"/>
      <c r="K75" s="327"/>
      <c r="L75" s="10"/>
      <c r="M75" s="111">
        <v>47990</v>
      </c>
      <c r="N75" s="111"/>
      <c r="O75" s="111"/>
      <c r="P75" s="109">
        <v>203700</v>
      </c>
      <c r="Q75" s="111"/>
      <c r="R75" s="109">
        <f t="shared" si="9"/>
        <v>251690</v>
      </c>
      <c r="S75" s="111">
        <v>42950</v>
      </c>
      <c r="T75" s="111"/>
      <c r="U75" s="111"/>
      <c r="V75" s="111">
        <v>178500</v>
      </c>
      <c r="W75" s="111"/>
      <c r="X75" s="109">
        <f t="shared" si="10"/>
        <v>221450</v>
      </c>
      <c r="Y75" s="111">
        <v>42950</v>
      </c>
      <c r="Z75" s="111"/>
      <c r="AA75" s="111"/>
      <c r="AB75" s="111">
        <v>178500</v>
      </c>
      <c r="AC75" s="111"/>
      <c r="AD75" s="109">
        <f t="shared" si="11"/>
        <v>221450</v>
      </c>
      <c r="AE75" s="111">
        <v>41270</v>
      </c>
      <c r="AF75" s="111"/>
      <c r="AG75" s="111"/>
      <c r="AH75" s="111">
        <v>170100</v>
      </c>
      <c r="AI75" s="111"/>
      <c r="AJ75" s="109">
        <f t="shared" si="12"/>
        <v>211370</v>
      </c>
      <c r="AK75" s="109">
        <f t="shared" si="13"/>
        <v>175160</v>
      </c>
      <c r="AL75" s="109">
        <f t="shared" si="14"/>
        <v>0</v>
      </c>
      <c r="AM75" s="109">
        <f t="shared" si="15"/>
        <v>0</v>
      </c>
      <c r="AN75" s="109">
        <f t="shared" si="16"/>
        <v>730800</v>
      </c>
      <c r="AO75" s="109">
        <f t="shared" si="17"/>
        <v>0</v>
      </c>
      <c r="AP75" s="345">
        <f t="shared" si="18"/>
        <v>905960</v>
      </c>
      <c r="AQ75" s="8"/>
      <c r="AR75" s="358">
        <f>M77+P77</f>
        <v>3479731.5</v>
      </c>
      <c r="AS75" s="358">
        <f>S77+V77</f>
        <v>4819141</v>
      </c>
      <c r="AT75" s="358">
        <f>Y77+AB77</f>
        <v>3742318</v>
      </c>
      <c r="AU75" s="358">
        <f>AE77+AH77</f>
        <v>3331948.5</v>
      </c>
      <c r="AV75" s="8"/>
    </row>
    <row r="76" spans="1:48" s="66" customFormat="1">
      <c r="A76" s="10" t="s">
        <v>58</v>
      </c>
      <c r="B76" s="10"/>
      <c r="C76" s="10"/>
      <c r="D76" s="10"/>
      <c r="E76" s="10"/>
      <c r="F76" s="10"/>
      <c r="G76" s="10"/>
      <c r="H76" s="10"/>
      <c r="I76" s="10"/>
      <c r="J76" s="10"/>
      <c r="K76" s="327"/>
      <c r="L76" s="10"/>
      <c r="M76" s="131"/>
      <c r="N76" s="131"/>
      <c r="O76" s="131"/>
      <c r="P76" s="131"/>
      <c r="Q76" s="131"/>
      <c r="R76" s="109">
        <f t="shared" si="9"/>
        <v>0</v>
      </c>
      <c r="S76" s="131"/>
      <c r="T76" s="131"/>
      <c r="U76" s="131"/>
      <c r="V76" s="131"/>
      <c r="W76" s="131"/>
      <c r="X76" s="109">
        <f t="shared" si="10"/>
        <v>0</v>
      </c>
      <c r="Y76" s="131"/>
      <c r="Z76" s="131"/>
      <c r="AA76" s="131"/>
      <c r="AB76" s="131"/>
      <c r="AC76" s="131"/>
      <c r="AD76" s="109">
        <f t="shared" si="11"/>
        <v>0</v>
      </c>
      <c r="AE76" s="131"/>
      <c r="AF76" s="131"/>
      <c r="AG76" s="131"/>
      <c r="AH76" s="131"/>
      <c r="AI76" s="131"/>
      <c r="AJ76" s="109">
        <f t="shared" si="12"/>
        <v>0</v>
      </c>
      <c r="AK76" s="109">
        <f t="shared" si="13"/>
        <v>0</v>
      </c>
      <c r="AL76" s="109">
        <f t="shared" si="14"/>
        <v>0</v>
      </c>
      <c r="AM76" s="109">
        <f t="shared" si="15"/>
        <v>0</v>
      </c>
      <c r="AN76" s="109">
        <f t="shared" si="16"/>
        <v>0</v>
      </c>
      <c r="AO76" s="109">
        <f t="shared" si="17"/>
        <v>0</v>
      </c>
      <c r="AP76" s="345">
        <f t="shared" si="18"/>
        <v>0</v>
      </c>
      <c r="AQ76" s="8"/>
      <c r="AR76" s="8"/>
      <c r="AS76" s="8"/>
      <c r="AT76" s="8"/>
      <c r="AU76" s="8"/>
      <c r="AV76" s="8"/>
    </row>
    <row r="77" spans="1:48" s="66" customFormat="1">
      <c r="A77" s="196" t="s">
        <v>59</v>
      </c>
      <c r="B77" s="196"/>
      <c r="C77" s="196"/>
      <c r="D77" s="196"/>
      <c r="E77" s="196"/>
      <c r="F77" s="196"/>
      <c r="G77" s="196"/>
      <c r="H77" s="196"/>
      <c r="I77" s="196"/>
      <c r="J77" s="196"/>
      <c r="K77" s="196"/>
      <c r="L77" s="196"/>
      <c r="M77" s="197">
        <f>SUM(M68:M75)</f>
        <v>3233031.5</v>
      </c>
      <c r="N77" s="197">
        <f>SUM(N68:N75)</f>
        <v>0</v>
      </c>
      <c r="O77" s="197">
        <f>SUM(O68:O75)</f>
        <v>0</v>
      </c>
      <c r="P77" s="197">
        <f>SUM(P68:P75)</f>
        <v>246700</v>
      </c>
      <c r="Q77" s="197">
        <f>SUM(Q68:Q75)</f>
        <v>150000</v>
      </c>
      <c r="R77" s="198">
        <f>SUM(M77:Q77)</f>
        <v>3629731.5</v>
      </c>
      <c r="S77" s="197">
        <f>SUM(S68:S75)</f>
        <v>3495141</v>
      </c>
      <c r="T77" s="197">
        <f>SUM(T68:T75)</f>
        <v>0</v>
      </c>
      <c r="U77" s="197">
        <f>SUM(U68:U75)</f>
        <v>0</v>
      </c>
      <c r="V77" s="197">
        <f>SUM(V68:V75)</f>
        <v>1324000</v>
      </c>
      <c r="W77" s="197">
        <f>SUM(W68:W75)</f>
        <v>150000</v>
      </c>
      <c r="X77" s="198">
        <f t="shared" si="10"/>
        <v>4969141</v>
      </c>
      <c r="Y77" s="197">
        <f>SUM(Y68:Y75)</f>
        <v>3543318</v>
      </c>
      <c r="Z77" s="197">
        <f>SUM(Z68:Z75)</f>
        <v>0</v>
      </c>
      <c r="AA77" s="197">
        <f>SUM(AA68:AA75)</f>
        <v>0</v>
      </c>
      <c r="AB77" s="197">
        <f>SUM(AB68:AB75)</f>
        <v>199000</v>
      </c>
      <c r="AC77" s="197">
        <f>SUM(AC68:AC75)</f>
        <v>150000</v>
      </c>
      <c r="AD77" s="198">
        <f>SUM(Y77:AC77)</f>
        <v>3892318</v>
      </c>
      <c r="AE77" s="197">
        <f>SUM(AE68:AE75)</f>
        <v>3141348.5</v>
      </c>
      <c r="AF77" s="197">
        <f>SUM(AF68:AF75)</f>
        <v>0</v>
      </c>
      <c r="AG77" s="197">
        <f>SUM(AG68:AG75)</f>
        <v>0</v>
      </c>
      <c r="AH77" s="197">
        <f>SUM(AH68:AH75)</f>
        <v>190600</v>
      </c>
      <c r="AI77" s="197">
        <f>SUM(AI68:AI75)</f>
        <v>150000</v>
      </c>
      <c r="AJ77" s="198">
        <f t="shared" si="12"/>
        <v>3481948.5</v>
      </c>
      <c r="AK77" s="197">
        <f>SUM(AK68:AK76)</f>
        <v>13412839</v>
      </c>
      <c r="AL77" s="197">
        <f>SUM(AL68:AL76)</f>
        <v>0</v>
      </c>
      <c r="AM77" s="197">
        <f>SUM(AM68:AM76)</f>
        <v>0</v>
      </c>
      <c r="AN77" s="197">
        <f>SUM(AN68:AN76)</f>
        <v>1960300</v>
      </c>
      <c r="AO77" s="197">
        <f>SUM(AO68:AO76)</f>
        <v>600000</v>
      </c>
      <c r="AP77" s="349">
        <f t="shared" si="18"/>
        <v>15973139</v>
      </c>
      <c r="AQ77" s="415"/>
      <c r="AR77" s="416">
        <f>AR75/AR73</f>
        <v>3479.7314999999999</v>
      </c>
      <c r="AS77" s="416">
        <f>AS75/AS73</f>
        <v>4819.1409999999996</v>
      </c>
      <c r="AT77" s="416">
        <f>AT75/AT73</f>
        <v>3742.3180000000002</v>
      </c>
      <c r="AU77" s="416">
        <f>AU75/AU73</f>
        <v>3331.9485</v>
      </c>
      <c r="AV77" s="417">
        <f>SUM(AQ77:AU77)</f>
        <v>15373.139000000001</v>
      </c>
    </row>
    <row r="78" spans="1:48" s="66" customFormat="1">
      <c r="A78" s="410" t="s">
        <v>73</v>
      </c>
      <c r="B78" s="54"/>
      <c r="C78" s="54"/>
      <c r="D78" s="53"/>
      <c r="E78" s="53"/>
      <c r="F78" s="64"/>
      <c r="G78" s="64"/>
      <c r="H78" s="53"/>
      <c r="I78" s="53"/>
      <c r="J78" s="53"/>
      <c r="K78" s="53"/>
      <c r="L78" s="53"/>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347"/>
      <c r="AQ78" s="409"/>
      <c r="AR78" s="409"/>
      <c r="AS78" s="409"/>
      <c r="AT78" s="409"/>
      <c r="AU78" s="409"/>
      <c r="AV78" s="409"/>
    </row>
    <row r="79" spans="1:48" s="66" customFormat="1" ht="25.5">
      <c r="A79" s="10" t="s">
        <v>61</v>
      </c>
      <c r="B79" s="10"/>
      <c r="C79" s="10"/>
      <c r="D79" s="10"/>
      <c r="E79" s="10"/>
      <c r="F79" s="10"/>
      <c r="G79" s="10"/>
      <c r="H79" s="10"/>
      <c r="I79" s="10"/>
      <c r="J79" s="10"/>
      <c r="K79" s="10"/>
      <c r="L79" s="10"/>
      <c r="M79" s="131"/>
      <c r="N79" s="131"/>
      <c r="O79" s="131"/>
      <c r="P79" s="131"/>
      <c r="Q79" s="131"/>
      <c r="R79" s="131"/>
      <c r="S79" s="131"/>
      <c r="T79" s="131"/>
      <c r="U79" s="131"/>
      <c r="V79" s="131"/>
      <c r="W79" s="131"/>
      <c r="X79" s="131"/>
      <c r="Y79" s="131"/>
      <c r="Z79" s="131"/>
      <c r="AA79" s="131"/>
      <c r="AB79" s="131"/>
      <c r="AC79" s="131"/>
      <c r="AD79" s="131"/>
      <c r="AE79" s="131"/>
      <c r="AF79" s="131"/>
      <c r="AG79" s="131"/>
      <c r="AH79" s="131"/>
      <c r="AI79" s="131"/>
      <c r="AJ79" s="131"/>
      <c r="AK79" s="131"/>
      <c r="AL79" s="131"/>
      <c r="AM79" s="131"/>
      <c r="AN79" s="131"/>
      <c r="AO79" s="131"/>
      <c r="AP79" s="131"/>
      <c r="AQ79" s="8"/>
      <c r="AR79" s="8"/>
      <c r="AS79" s="8"/>
      <c r="AT79" s="8"/>
      <c r="AU79" s="8"/>
      <c r="AV79" s="8"/>
    </row>
    <row r="80" spans="1:48" s="66" customFormat="1" ht="25.5">
      <c r="A80" s="10" t="s">
        <v>65</v>
      </c>
      <c r="B80" s="10"/>
      <c r="C80" s="10"/>
      <c r="D80" s="10"/>
      <c r="E80" s="10"/>
      <c r="F80" s="10"/>
      <c r="G80" s="10"/>
      <c r="H80" s="10"/>
      <c r="I80" s="10"/>
      <c r="J80" s="10"/>
      <c r="K80" s="10"/>
      <c r="L80" s="10"/>
      <c r="M80" s="131"/>
      <c r="N80" s="131"/>
      <c r="O80" s="131"/>
      <c r="P80" s="131"/>
      <c r="Q80" s="131"/>
      <c r="R80" s="131"/>
      <c r="S80" s="131"/>
      <c r="T80" s="131"/>
      <c r="U80" s="131"/>
      <c r="V80" s="131"/>
      <c r="W80" s="131"/>
      <c r="X80" s="131"/>
      <c r="Y80" s="131"/>
      <c r="Z80" s="131"/>
      <c r="AA80" s="131"/>
      <c r="AB80" s="131"/>
      <c r="AC80" s="131"/>
      <c r="AD80" s="131"/>
      <c r="AE80" s="131"/>
      <c r="AF80" s="131"/>
      <c r="AG80" s="131"/>
      <c r="AH80" s="131"/>
      <c r="AI80" s="131"/>
      <c r="AJ80" s="131"/>
      <c r="AK80" s="131"/>
      <c r="AL80" s="131"/>
      <c r="AM80" s="131"/>
      <c r="AN80" s="131"/>
      <c r="AO80" s="131"/>
      <c r="AP80" s="131"/>
      <c r="AQ80" s="8"/>
      <c r="AR80" s="8"/>
      <c r="AS80" s="8"/>
      <c r="AT80" s="8"/>
      <c r="AU80" s="8"/>
      <c r="AV80" s="8"/>
    </row>
    <row r="81" spans="1:48" s="66" customFormat="1" ht="242.25">
      <c r="A81" s="10" t="s">
        <v>283</v>
      </c>
      <c r="B81" s="10"/>
      <c r="C81" s="10"/>
      <c r="D81" s="10" t="s">
        <v>73</v>
      </c>
      <c r="E81" s="10" t="s">
        <v>66</v>
      </c>
      <c r="F81" s="10" t="s">
        <v>18</v>
      </c>
      <c r="G81" s="10" t="s">
        <v>67</v>
      </c>
      <c r="H81" s="10" t="s">
        <v>68</v>
      </c>
      <c r="I81" s="10" t="s">
        <v>267</v>
      </c>
      <c r="J81" s="10" t="s">
        <v>268</v>
      </c>
      <c r="K81" s="327"/>
      <c r="L81" s="10"/>
      <c r="M81" s="131"/>
      <c r="N81" s="131"/>
      <c r="O81" s="131"/>
      <c r="P81" s="131"/>
      <c r="Q81" s="131"/>
      <c r="R81" s="131"/>
      <c r="S81" s="131"/>
      <c r="T81" s="131"/>
      <c r="U81" s="131"/>
      <c r="V81" s="131"/>
      <c r="W81" s="131"/>
      <c r="X81" s="131"/>
      <c r="Y81" s="131"/>
      <c r="Z81" s="131"/>
      <c r="AA81" s="131"/>
      <c r="AB81" s="131"/>
      <c r="AC81" s="131"/>
      <c r="AD81" s="131"/>
      <c r="AE81" s="131"/>
      <c r="AF81" s="131"/>
      <c r="AG81" s="131"/>
      <c r="AH81" s="131"/>
      <c r="AI81" s="131"/>
      <c r="AJ81" s="131"/>
      <c r="AK81" s="69">
        <v>9100000</v>
      </c>
      <c r="AL81" s="69"/>
      <c r="AM81" s="69"/>
      <c r="AN81" s="69"/>
      <c r="AO81" s="69"/>
      <c r="AP81" s="69">
        <f t="shared" ref="AP81:AP86" si="19">SUM(AK81:AO81)</f>
        <v>9100000</v>
      </c>
      <c r="AQ81" s="8"/>
      <c r="AR81" s="8"/>
      <c r="AS81" s="8"/>
      <c r="AT81" s="8"/>
      <c r="AU81" s="8"/>
      <c r="AV81" s="8"/>
    </row>
    <row r="82" spans="1:48" s="66" customFormat="1" ht="252" customHeight="1">
      <c r="A82" s="1" t="s">
        <v>284</v>
      </c>
      <c r="B82" s="71"/>
      <c r="C82" s="71"/>
      <c r="D82" s="1"/>
      <c r="E82" s="10" t="s">
        <v>69</v>
      </c>
      <c r="F82" s="4" t="s">
        <v>18</v>
      </c>
      <c r="G82" s="1"/>
      <c r="H82" s="59" t="s">
        <v>64</v>
      </c>
      <c r="I82" s="4" t="s">
        <v>278</v>
      </c>
      <c r="J82" s="4"/>
      <c r="K82" s="328" t="s">
        <v>280</v>
      </c>
      <c r="L82" s="67"/>
      <c r="M82" s="68"/>
      <c r="N82" s="68"/>
      <c r="O82" s="68"/>
      <c r="P82" s="67"/>
      <c r="Q82" s="67"/>
      <c r="R82" s="67"/>
      <c r="S82" s="67"/>
      <c r="T82" s="67"/>
      <c r="U82" s="67"/>
      <c r="V82" s="67"/>
      <c r="W82" s="68"/>
      <c r="X82" s="68"/>
      <c r="Y82" s="68"/>
      <c r="Z82" s="67"/>
      <c r="AA82" s="67"/>
      <c r="AB82" s="68"/>
      <c r="AC82" s="68"/>
      <c r="AD82" s="68"/>
      <c r="AE82" s="67"/>
      <c r="AF82" s="67"/>
      <c r="AG82" s="67"/>
      <c r="AH82" s="67"/>
      <c r="AI82" s="67"/>
      <c r="AJ82" s="67"/>
      <c r="AK82" s="72">
        <v>240000</v>
      </c>
      <c r="AL82" s="70"/>
      <c r="AM82" s="70"/>
      <c r="AN82" s="70"/>
      <c r="AO82" s="70"/>
      <c r="AP82" s="350">
        <f t="shared" si="19"/>
        <v>240000</v>
      </c>
      <c r="AQ82" s="8"/>
      <c r="AR82" s="412">
        <f>AP81+AP85</f>
        <v>14100000</v>
      </c>
      <c r="AS82" s="8"/>
      <c r="AT82" s="8"/>
      <c r="AU82" s="8"/>
      <c r="AV82" s="8"/>
    </row>
    <row r="83" spans="1:48" s="66" customFormat="1" ht="102">
      <c r="A83" s="2" t="s">
        <v>70</v>
      </c>
      <c r="B83" s="314"/>
      <c r="C83" s="314"/>
      <c r="D83" s="4" t="s">
        <v>73</v>
      </c>
      <c r="E83" s="61" t="s">
        <v>71</v>
      </c>
      <c r="F83" s="4" t="s">
        <v>18</v>
      </c>
      <c r="G83" s="314"/>
      <c r="H83" s="1" t="s">
        <v>281</v>
      </c>
      <c r="I83" s="4" t="s">
        <v>282</v>
      </c>
      <c r="J83" s="4"/>
      <c r="K83" s="67"/>
      <c r="L83" s="67"/>
      <c r="M83" s="68"/>
      <c r="N83" s="68"/>
      <c r="O83" s="68"/>
      <c r="P83" s="67"/>
      <c r="Q83" s="67"/>
      <c r="R83" s="67"/>
      <c r="S83" s="67"/>
      <c r="T83" s="67"/>
      <c r="U83" s="67"/>
      <c r="V83" s="67"/>
      <c r="W83" s="68"/>
      <c r="X83" s="68"/>
      <c r="Y83" s="68"/>
      <c r="Z83" s="67"/>
      <c r="AA83" s="67"/>
      <c r="AB83" s="68"/>
      <c r="AC83" s="68"/>
      <c r="AD83" s="68"/>
      <c r="AE83" s="67"/>
      <c r="AF83" s="67"/>
      <c r="AG83" s="67"/>
      <c r="AH83" s="67"/>
      <c r="AI83" s="67"/>
      <c r="AJ83" s="67"/>
      <c r="AK83" s="62">
        <v>350000</v>
      </c>
      <c r="AL83" s="70"/>
      <c r="AM83" s="70"/>
      <c r="AN83" s="70"/>
      <c r="AO83" s="70"/>
      <c r="AP83" s="350">
        <f t="shared" si="19"/>
        <v>350000</v>
      </c>
      <c r="AQ83" s="8"/>
      <c r="AR83" s="8"/>
      <c r="AS83" s="8"/>
      <c r="AT83" s="8"/>
      <c r="AU83" s="8"/>
      <c r="AV83" s="8"/>
    </row>
    <row r="84" spans="1:48" s="31" customFormat="1" ht="25.5">
      <c r="A84" s="114" t="s">
        <v>306</v>
      </c>
      <c r="B84" s="6"/>
      <c r="C84" s="6"/>
      <c r="D84" s="15"/>
      <c r="E84" s="6"/>
      <c r="F84" s="6"/>
      <c r="G84" s="6"/>
      <c r="H84" s="6"/>
      <c r="I84" s="6"/>
      <c r="J84" s="6"/>
      <c r="K84" s="6"/>
      <c r="L84" s="6"/>
      <c r="M84" s="118"/>
      <c r="N84" s="118"/>
      <c r="O84" s="118"/>
      <c r="P84" s="118"/>
      <c r="Q84" s="118"/>
      <c r="R84" s="118"/>
      <c r="S84" s="118"/>
      <c r="T84" s="118"/>
      <c r="U84" s="118"/>
      <c r="V84" s="118"/>
      <c r="W84" s="118"/>
      <c r="X84" s="118">
        <f>SUM(S84:W84)</f>
        <v>0</v>
      </c>
      <c r="Y84" s="118"/>
      <c r="Z84" s="118"/>
      <c r="AA84" s="118"/>
      <c r="AB84" s="118"/>
      <c r="AC84" s="118"/>
      <c r="AD84" s="118">
        <f>SUM(Y84:AC84)</f>
        <v>0</v>
      </c>
      <c r="AE84" s="118"/>
      <c r="AF84" s="118"/>
      <c r="AG84" s="118"/>
      <c r="AH84" s="118"/>
      <c r="AI84" s="118"/>
      <c r="AJ84" s="118">
        <f>SUM(AE84:AI84)</f>
        <v>0</v>
      </c>
      <c r="AK84" s="118"/>
      <c r="AL84" s="118"/>
      <c r="AM84" s="118"/>
      <c r="AN84" s="118"/>
      <c r="AO84" s="118"/>
      <c r="AP84" s="391">
        <f>SUM(AK84:AO84)</f>
        <v>0</v>
      </c>
      <c r="AQ84" s="115"/>
      <c r="AR84" s="115"/>
      <c r="AS84" s="115"/>
      <c r="AT84" s="115"/>
      <c r="AU84" s="115"/>
      <c r="AV84" s="115"/>
    </row>
    <row r="85" spans="1:48" s="32" customFormat="1" ht="76.5">
      <c r="A85" s="6" t="s">
        <v>574</v>
      </c>
      <c r="B85" s="6"/>
      <c r="C85" s="6"/>
      <c r="D85" s="15" t="s">
        <v>73</v>
      </c>
      <c r="E85" s="6" t="s">
        <v>63</v>
      </c>
      <c r="F85" s="6" t="s">
        <v>18</v>
      </c>
      <c r="G85" s="6"/>
      <c r="H85" s="6" t="s">
        <v>118</v>
      </c>
      <c r="I85" s="6"/>
      <c r="J85" s="6"/>
      <c r="K85" s="379" t="s">
        <v>555</v>
      </c>
      <c r="L85" s="6"/>
      <c r="M85" s="118"/>
      <c r="N85" s="118"/>
      <c r="O85" s="118"/>
      <c r="P85" s="118"/>
      <c r="Q85" s="118"/>
      <c r="R85" s="118"/>
      <c r="S85" s="118"/>
      <c r="T85" s="118"/>
      <c r="U85" s="118"/>
      <c r="V85" s="118"/>
      <c r="W85" s="118"/>
      <c r="X85" s="118">
        <f>SUM(S85:W85)</f>
        <v>0</v>
      </c>
      <c r="Y85" s="118"/>
      <c r="Z85" s="118"/>
      <c r="AA85" s="118"/>
      <c r="AB85" s="118"/>
      <c r="AC85" s="118"/>
      <c r="AD85" s="118">
        <f>SUM(Y85:AC85)</f>
        <v>0</v>
      </c>
      <c r="AE85" s="118"/>
      <c r="AF85" s="118"/>
      <c r="AG85" s="118"/>
      <c r="AH85" s="118"/>
      <c r="AI85" s="118"/>
      <c r="AJ85" s="118">
        <f>SUM(AE85:AI85)</f>
        <v>0</v>
      </c>
      <c r="AK85" s="118">
        <v>5000000</v>
      </c>
      <c r="AL85" s="118"/>
      <c r="AM85" s="118"/>
      <c r="AN85" s="118"/>
      <c r="AO85" s="118"/>
      <c r="AP85" s="391">
        <f>SUM(AK85:AO85)</f>
        <v>5000000</v>
      </c>
      <c r="AQ85" s="392"/>
      <c r="AR85" s="392"/>
      <c r="AS85" s="392"/>
      <c r="AT85" s="392"/>
      <c r="AU85" s="392"/>
      <c r="AV85" s="392"/>
    </row>
    <row r="86" spans="1:48" ht="21" customHeight="1">
      <c r="A86" s="74" t="s">
        <v>72</v>
      </c>
      <c r="B86" s="74"/>
      <c r="C86" s="74"/>
      <c r="D86" s="74"/>
      <c r="E86" s="74"/>
      <c r="F86" s="74"/>
      <c r="G86" s="74"/>
      <c r="H86" s="74"/>
      <c r="I86" s="74"/>
      <c r="J86" s="74"/>
      <c r="K86" s="74"/>
      <c r="L86" s="74"/>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f>SUM(AK81:AK83)</f>
        <v>9690000</v>
      </c>
      <c r="AL86" s="75">
        <f>SUM(AL81:AL83)</f>
        <v>0</v>
      </c>
      <c r="AM86" s="75">
        <f>SUM(AM81:AM83)</f>
        <v>0</v>
      </c>
      <c r="AN86" s="75">
        <f>SUM(AN81:AN83)</f>
        <v>0</v>
      </c>
      <c r="AO86" s="75">
        <f>SUM(AO81:AO83)</f>
        <v>0</v>
      </c>
      <c r="AP86" s="351">
        <f t="shared" si="19"/>
        <v>9690000</v>
      </c>
      <c r="AQ86" s="75">
        <f>SUM(AQ81:AQ83)</f>
        <v>0</v>
      </c>
      <c r="AR86" s="75">
        <f>SUM(AR81:AR83)</f>
        <v>14100000</v>
      </c>
      <c r="AS86" s="75">
        <f>SUM(AS81:AS83)</f>
        <v>0</v>
      </c>
      <c r="AT86" s="75">
        <f>SUM(AT81:AT83)</f>
        <v>0</v>
      </c>
      <c r="AU86" s="75">
        <f>SUM(AU81:AU83)</f>
        <v>0</v>
      </c>
      <c r="AV86" s="413">
        <f>SUM(AQ86:AU86)</f>
        <v>14100000</v>
      </c>
    </row>
    <row r="87" spans="1:48" ht="43.5" customHeight="1">
      <c r="A87" s="55" t="s">
        <v>194</v>
      </c>
      <c r="B87" s="28"/>
      <c r="C87" s="28"/>
      <c r="D87" s="56"/>
      <c r="E87" s="56"/>
      <c r="F87" s="56"/>
      <c r="G87" s="24"/>
      <c r="H87" s="24"/>
      <c r="I87" s="24"/>
      <c r="J87" s="24"/>
      <c r="K87" s="24"/>
      <c r="L87" s="24"/>
      <c r="M87" s="58">
        <f t="shared" ref="M87:AP87" si="20">M64+M77+M86</f>
        <v>32089148.499999974</v>
      </c>
      <c r="N87" s="58">
        <f t="shared" si="20"/>
        <v>0</v>
      </c>
      <c r="O87" s="58">
        <f t="shared" si="20"/>
        <v>0</v>
      </c>
      <c r="P87" s="58">
        <f t="shared" si="20"/>
        <v>901200</v>
      </c>
      <c r="Q87" s="58">
        <f t="shared" si="20"/>
        <v>150000</v>
      </c>
      <c r="R87" s="58">
        <f t="shared" si="20"/>
        <v>33140348.499999974</v>
      </c>
      <c r="S87" s="58">
        <f t="shared" si="20"/>
        <v>28833234.723810069</v>
      </c>
      <c r="T87" s="58">
        <f t="shared" si="20"/>
        <v>0</v>
      </c>
      <c r="U87" s="58">
        <f t="shared" si="20"/>
        <v>0</v>
      </c>
      <c r="V87" s="58">
        <f t="shared" si="20"/>
        <v>1978500</v>
      </c>
      <c r="W87" s="58">
        <f t="shared" si="20"/>
        <v>150000</v>
      </c>
      <c r="X87" s="58">
        <f t="shared" si="20"/>
        <v>30961734.723810069</v>
      </c>
      <c r="Y87" s="58">
        <f t="shared" si="20"/>
        <v>29104855.768930018</v>
      </c>
      <c r="Z87" s="58">
        <f t="shared" si="20"/>
        <v>0</v>
      </c>
      <c r="AA87" s="58">
        <f t="shared" si="20"/>
        <v>0</v>
      </c>
      <c r="AB87" s="58">
        <f t="shared" si="20"/>
        <v>853500</v>
      </c>
      <c r="AC87" s="58">
        <f t="shared" si="20"/>
        <v>150000</v>
      </c>
      <c r="AD87" s="58">
        <f t="shared" si="20"/>
        <v>30108355.768930018</v>
      </c>
      <c r="AE87" s="58">
        <f t="shared" si="20"/>
        <v>31644564.780698162</v>
      </c>
      <c r="AF87" s="58">
        <f t="shared" si="20"/>
        <v>0</v>
      </c>
      <c r="AG87" s="58">
        <f t="shared" si="20"/>
        <v>0</v>
      </c>
      <c r="AH87" s="58">
        <f t="shared" si="20"/>
        <v>845100</v>
      </c>
      <c r="AI87" s="58">
        <f t="shared" si="20"/>
        <v>150000</v>
      </c>
      <c r="AJ87" s="58">
        <f t="shared" si="20"/>
        <v>32639664.780698162</v>
      </c>
      <c r="AK87" s="57">
        <f t="shared" si="20"/>
        <v>131361803.77343822</v>
      </c>
      <c r="AL87" s="57">
        <f t="shared" si="20"/>
        <v>0</v>
      </c>
      <c r="AM87" s="57">
        <f t="shared" si="20"/>
        <v>0</v>
      </c>
      <c r="AN87" s="57">
        <f t="shared" si="20"/>
        <v>4578300</v>
      </c>
      <c r="AO87" s="57">
        <f t="shared" si="20"/>
        <v>600000</v>
      </c>
      <c r="AP87" s="352">
        <f t="shared" si="20"/>
        <v>136540103.77343822</v>
      </c>
      <c r="AQ87" s="56"/>
      <c r="AR87" s="56"/>
      <c r="AS87" s="56"/>
      <c r="AT87" s="56"/>
      <c r="AU87" s="56"/>
      <c r="AV87" s="56"/>
    </row>
    <row r="88" spans="1:48" s="31" customFormat="1" ht="25.5" customHeight="1">
      <c r="A88" s="25" t="s">
        <v>189</v>
      </c>
      <c r="B88" s="25"/>
      <c r="C88" s="25"/>
      <c r="D88" s="25"/>
      <c r="E88" s="25"/>
      <c r="F88" s="25"/>
      <c r="G88" s="25"/>
      <c r="H88" s="25"/>
      <c r="I88" s="25"/>
      <c r="J88" s="25"/>
      <c r="K88" s="25"/>
      <c r="L88" s="25"/>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393"/>
      <c r="AQ88" s="411"/>
      <c r="AR88" s="411"/>
      <c r="AS88" s="411"/>
      <c r="AT88" s="411"/>
      <c r="AU88" s="411"/>
      <c r="AV88" s="411"/>
    </row>
    <row r="89" spans="1:48" s="31" customFormat="1" ht="40.5" customHeight="1">
      <c r="A89" s="114" t="s">
        <v>156</v>
      </c>
      <c r="B89" s="115"/>
      <c r="C89" s="115"/>
      <c r="D89" s="116"/>
      <c r="E89" s="117"/>
      <c r="F89" s="115"/>
      <c r="G89" s="117"/>
      <c r="H89" s="115"/>
      <c r="I89" s="115"/>
      <c r="J89" s="115"/>
      <c r="K89" s="115"/>
      <c r="L89" s="117"/>
      <c r="M89" s="115"/>
      <c r="N89" s="115"/>
      <c r="O89" s="115"/>
      <c r="P89" s="115"/>
      <c r="Q89" s="115"/>
      <c r="R89" s="115"/>
      <c r="S89" s="115"/>
      <c r="T89" s="115"/>
      <c r="U89" s="115"/>
      <c r="V89" s="115"/>
      <c r="W89" s="115"/>
      <c r="X89" s="115"/>
      <c r="Y89" s="115"/>
      <c r="Z89" s="115"/>
      <c r="AA89" s="115"/>
      <c r="AB89" s="115"/>
      <c r="AC89" s="115"/>
      <c r="AD89" s="115"/>
      <c r="AE89" s="115"/>
      <c r="AF89" s="115"/>
      <c r="AG89" s="115"/>
      <c r="AH89" s="115"/>
      <c r="AI89" s="115"/>
      <c r="AJ89" s="115"/>
      <c r="AK89" s="115"/>
      <c r="AL89" s="115"/>
      <c r="AM89" s="115"/>
      <c r="AN89" s="115"/>
      <c r="AO89" s="115"/>
      <c r="AP89" s="394"/>
      <c r="AQ89" s="115"/>
      <c r="AR89" s="115"/>
      <c r="AS89" s="115"/>
      <c r="AT89" s="115"/>
      <c r="AU89" s="115"/>
      <c r="AV89" s="115"/>
    </row>
    <row r="90" spans="1:48" s="419" customFormat="1" ht="101.25" customHeight="1">
      <c r="A90" s="10" t="s">
        <v>157</v>
      </c>
      <c r="B90" s="10"/>
      <c r="C90" s="10"/>
      <c r="D90" s="10" t="s">
        <v>154</v>
      </c>
      <c r="E90" s="1" t="s">
        <v>158</v>
      </c>
      <c r="F90" s="10" t="s">
        <v>25</v>
      </c>
      <c r="G90" s="10" t="s">
        <v>74</v>
      </c>
      <c r="H90" s="10" t="s">
        <v>118</v>
      </c>
      <c r="I90" s="10">
        <v>13</v>
      </c>
      <c r="J90" s="10"/>
      <c r="K90" s="422" t="s">
        <v>556</v>
      </c>
      <c r="L90" s="10"/>
      <c r="M90" s="131">
        <v>10000000</v>
      </c>
      <c r="N90" s="131"/>
      <c r="O90" s="131"/>
      <c r="P90" s="131"/>
      <c r="Q90" s="131"/>
      <c r="R90" s="131"/>
      <c r="S90" s="131">
        <v>10000000</v>
      </c>
      <c r="T90" s="131"/>
      <c r="U90" s="131"/>
      <c r="V90" s="131"/>
      <c r="W90" s="131"/>
      <c r="X90" s="131">
        <f>SUM(S90:W90)</f>
        <v>10000000</v>
      </c>
      <c r="Y90" s="131">
        <v>10000000</v>
      </c>
      <c r="Z90" s="131"/>
      <c r="AA90" s="131"/>
      <c r="AB90" s="131"/>
      <c r="AC90" s="131"/>
      <c r="AD90" s="131">
        <f>SUM(Y90:AC90)</f>
        <v>10000000</v>
      </c>
      <c r="AE90" s="131">
        <v>10000000</v>
      </c>
      <c r="AF90" s="131"/>
      <c r="AG90" s="131"/>
      <c r="AH90" s="131"/>
      <c r="AI90" s="131"/>
      <c r="AJ90" s="131">
        <f>SUM(AE90:AI90)</f>
        <v>10000000</v>
      </c>
      <c r="AK90" s="131">
        <f>M90+S90+Y90+AE90</f>
        <v>40000000</v>
      </c>
      <c r="AL90" s="131">
        <v>0</v>
      </c>
      <c r="AM90" s="131">
        <v>0</v>
      </c>
      <c r="AN90" s="131">
        <v>0</v>
      </c>
      <c r="AO90" s="131">
        <v>0</v>
      </c>
      <c r="AP90" s="344">
        <f t="shared" ref="AP90:AP96" si="21">SUM(AK90:AO90)</f>
        <v>40000000</v>
      </c>
      <c r="AQ90" s="423"/>
      <c r="AR90" s="423"/>
      <c r="AS90" s="423"/>
      <c r="AT90" s="423"/>
      <c r="AU90" s="423"/>
      <c r="AV90" s="423"/>
    </row>
    <row r="91" spans="1:48" s="420" customFormat="1" ht="76.5">
      <c r="A91" s="424" t="s">
        <v>575</v>
      </c>
      <c r="B91" s="425"/>
      <c r="C91" s="425"/>
      <c r="D91" s="313" t="s">
        <v>155</v>
      </c>
      <c r="E91" s="426" t="s">
        <v>159</v>
      </c>
      <c r="F91" s="425" t="s">
        <v>25</v>
      </c>
      <c r="G91" s="10" t="s">
        <v>74</v>
      </c>
      <c r="H91" s="10" t="s">
        <v>118</v>
      </c>
      <c r="I91" s="10">
        <v>13</v>
      </c>
      <c r="J91" s="10"/>
      <c r="K91" s="308"/>
      <c r="L91" s="10" t="s">
        <v>160</v>
      </c>
      <c r="M91" s="131"/>
      <c r="N91" s="131"/>
      <c r="O91" s="131"/>
      <c r="P91" s="131"/>
      <c r="Q91" s="131"/>
      <c r="R91" s="131">
        <v>0</v>
      </c>
      <c r="S91" s="131"/>
      <c r="T91" s="131"/>
      <c r="U91" s="131"/>
      <c r="V91" s="131"/>
      <c r="W91" s="131"/>
      <c r="X91" s="131">
        <f>SUM(S91:W91)</f>
        <v>0</v>
      </c>
      <c r="Y91" s="131"/>
      <c r="Z91" s="131"/>
      <c r="AA91" s="131"/>
      <c r="AB91" s="131"/>
      <c r="AC91" s="131"/>
      <c r="AD91" s="131">
        <f>SUM(Y91:AC91)</f>
        <v>0</v>
      </c>
      <c r="AE91" s="131"/>
      <c r="AF91" s="131"/>
      <c r="AG91" s="131"/>
      <c r="AH91" s="131"/>
      <c r="AI91" s="131"/>
      <c r="AJ91" s="131">
        <f>SUM(AE91:AI91)</f>
        <v>0</v>
      </c>
      <c r="AK91" s="427">
        <v>4620</v>
      </c>
      <c r="AL91" s="131">
        <v>754330</v>
      </c>
      <c r="AM91" s="131">
        <v>1033200</v>
      </c>
      <c r="AN91" s="131">
        <v>119280</v>
      </c>
      <c r="AO91" s="131">
        <v>2940</v>
      </c>
      <c r="AP91" s="344">
        <f t="shared" si="21"/>
        <v>1914370</v>
      </c>
      <c r="AQ91" s="428"/>
      <c r="AR91" s="428"/>
      <c r="AS91" s="428"/>
      <c r="AT91" s="428"/>
      <c r="AU91" s="428"/>
      <c r="AV91" s="428"/>
    </row>
    <row r="92" spans="1:48" s="31" customFormat="1" ht="26.25">
      <c r="A92" s="119" t="s">
        <v>576</v>
      </c>
      <c r="B92" s="6"/>
      <c r="C92" s="6"/>
      <c r="D92" s="6" t="s">
        <v>154</v>
      </c>
      <c r="E92" s="322"/>
      <c r="F92" s="119" t="s">
        <v>18</v>
      </c>
      <c r="G92" s="396"/>
      <c r="H92" s="6" t="s">
        <v>118</v>
      </c>
      <c r="I92" s="6">
        <v>13</v>
      </c>
      <c r="J92" s="6"/>
      <c r="K92" s="397" t="s">
        <v>556</v>
      </c>
      <c r="L92" s="6"/>
      <c r="M92" s="118"/>
      <c r="N92" s="118"/>
      <c r="O92" s="118"/>
      <c r="P92" s="118"/>
      <c r="Q92" s="118"/>
      <c r="R92" s="118"/>
      <c r="S92" s="118"/>
      <c r="T92" s="118"/>
      <c r="U92" s="118"/>
      <c r="V92" s="118"/>
      <c r="W92" s="118"/>
      <c r="X92" s="118">
        <f t="shared" ref="X92:X97" si="22">SUM(S92:W92)</f>
        <v>0</v>
      </c>
      <c r="Y92" s="118"/>
      <c r="Z92" s="118"/>
      <c r="AA92" s="118"/>
      <c r="AB92" s="118"/>
      <c r="AC92" s="118"/>
      <c r="AD92" s="118">
        <f t="shared" ref="AD92:AD97" si="23">SUM(Y92:AC92)</f>
        <v>0</v>
      </c>
      <c r="AE92" s="118"/>
      <c r="AF92" s="118"/>
      <c r="AG92" s="118"/>
      <c r="AH92" s="118"/>
      <c r="AI92" s="118"/>
      <c r="AJ92" s="118">
        <f t="shared" ref="AJ92:AJ97" si="24">SUM(AE92:AI92)</f>
        <v>0</v>
      </c>
      <c r="AK92" s="120">
        <v>20392000</v>
      </c>
      <c r="AL92" s="115"/>
      <c r="AM92" s="398"/>
      <c r="AN92" s="118"/>
      <c r="AO92" s="118"/>
      <c r="AP92" s="391">
        <f t="shared" si="21"/>
        <v>20392000</v>
      </c>
      <c r="AQ92" s="115"/>
      <c r="AR92" s="115"/>
      <c r="AS92" s="115"/>
      <c r="AT92" s="115"/>
      <c r="AU92" s="115"/>
      <c r="AV92" s="115"/>
    </row>
    <row r="93" spans="1:48" s="31" customFormat="1" ht="26.25">
      <c r="A93" s="119" t="s">
        <v>577</v>
      </c>
      <c r="B93" s="6"/>
      <c r="C93" s="6"/>
      <c r="D93" s="6" t="s">
        <v>154</v>
      </c>
      <c r="E93" s="322"/>
      <c r="F93" s="119" t="s">
        <v>311</v>
      </c>
      <c r="G93" s="396"/>
      <c r="H93" s="6" t="s">
        <v>118</v>
      </c>
      <c r="I93" s="6">
        <v>13</v>
      </c>
      <c r="J93" s="6"/>
      <c r="K93" s="399" t="s">
        <v>556</v>
      </c>
      <c r="L93" s="6"/>
      <c r="M93" s="118"/>
      <c r="N93" s="118"/>
      <c r="O93" s="118"/>
      <c r="P93" s="118"/>
      <c r="Q93" s="118"/>
      <c r="R93" s="118"/>
      <c r="S93" s="118"/>
      <c r="T93" s="118"/>
      <c r="U93" s="118"/>
      <c r="V93" s="118"/>
      <c r="W93" s="118"/>
      <c r="X93" s="118">
        <f t="shared" si="22"/>
        <v>0</v>
      </c>
      <c r="Y93" s="118"/>
      <c r="Z93" s="118"/>
      <c r="AA93" s="118"/>
      <c r="AB93" s="118"/>
      <c r="AC93" s="118"/>
      <c r="AD93" s="118">
        <f t="shared" si="23"/>
        <v>0</v>
      </c>
      <c r="AE93" s="118"/>
      <c r="AF93" s="118"/>
      <c r="AG93" s="118"/>
      <c r="AH93" s="118"/>
      <c r="AI93" s="118"/>
      <c r="AJ93" s="118">
        <f t="shared" si="24"/>
        <v>0</v>
      </c>
      <c r="AK93" s="120">
        <v>4000000</v>
      </c>
      <c r="AL93" s="115"/>
      <c r="AM93" s="398"/>
      <c r="AN93" s="118"/>
      <c r="AO93" s="118"/>
      <c r="AP93" s="391">
        <f t="shared" si="21"/>
        <v>4000000</v>
      </c>
      <c r="AQ93" s="115"/>
      <c r="AR93" s="115"/>
      <c r="AS93" s="115"/>
      <c r="AT93" s="115"/>
      <c r="AU93" s="115"/>
      <c r="AV93" s="115"/>
    </row>
    <row r="94" spans="1:48" s="31" customFormat="1" ht="26.25">
      <c r="A94" s="119" t="s">
        <v>578</v>
      </c>
      <c r="B94" s="6"/>
      <c r="C94" s="6"/>
      <c r="D94" s="6" t="s">
        <v>154</v>
      </c>
      <c r="E94" s="322"/>
      <c r="F94" s="119" t="s">
        <v>18</v>
      </c>
      <c r="G94" s="396"/>
      <c r="H94" s="6" t="s">
        <v>118</v>
      </c>
      <c r="I94" s="6">
        <v>13</v>
      </c>
      <c r="J94" s="6"/>
      <c r="K94" s="399" t="s">
        <v>556</v>
      </c>
      <c r="L94" s="6"/>
      <c r="M94" s="118"/>
      <c r="N94" s="118"/>
      <c r="O94" s="118"/>
      <c r="P94" s="118"/>
      <c r="Q94" s="118"/>
      <c r="R94" s="118"/>
      <c r="S94" s="118"/>
      <c r="T94" s="118"/>
      <c r="U94" s="118"/>
      <c r="V94" s="118"/>
      <c r="W94" s="118"/>
      <c r="X94" s="118">
        <f t="shared" si="22"/>
        <v>0</v>
      </c>
      <c r="Y94" s="118"/>
      <c r="Z94" s="118"/>
      <c r="AA94" s="118"/>
      <c r="AB94" s="118"/>
      <c r="AC94" s="118"/>
      <c r="AD94" s="118">
        <f t="shared" si="23"/>
        <v>0</v>
      </c>
      <c r="AE94" s="118"/>
      <c r="AF94" s="118"/>
      <c r="AG94" s="118"/>
      <c r="AH94" s="118"/>
      <c r="AI94" s="118"/>
      <c r="AJ94" s="118">
        <f t="shared" si="24"/>
        <v>0</v>
      </c>
      <c r="AK94" s="120">
        <v>2688000</v>
      </c>
      <c r="AL94" s="115"/>
      <c r="AM94" s="398"/>
      <c r="AN94" s="118"/>
      <c r="AO94" s="118"/>
      <c r="AP94" s="391">
        <f t="shared" si="21"/>
        <v>2688000</v>
      </c>
      <c r="AQ94" s="115"/>
      <c r="AR94" s="115"/>
      <c r="AS94" s="115"/>
      <c r="AT94" s="115"/>
      <c r="AU94" s="115"/>
      <c r="AV94" s="115"/>
    </row>
    <row r="95" spans="1:48" s="31" customFormat="1" ht="26.25">
      <c r="A95" s="119" t="s">
        <v>579</v>
      </c>
      <c r="B95" s="6"/>
      <c r="C95" s="6"/>
      <c r="D95" s="6" t="s">
        <v>154</v>
      </c>
      <c r="E95" s="322"/>
      <c r="F95" s="119" t="s">
        <v>18</v>
      </c>
      <c r="G95" s="396"/>
      <c r="H95" s="6" t="s">
        <v>118</v>
      </c>
      <c r="I95" s="6">
        <v>13</v>
      </c>
      <c r="J95" s="6"/>
      <c r="K95" s="397" t="s">
        <v>556</v>
      </c>
      <c r="L95" s="6"/>
      <c r="M95" s="118"/>
      <c r="N95" s="118"/>
      <c r="O95" s="118"/>
      <c r="P95" s="118"/>
      <c r="Q95" s="118"/>
      <c r="R95" s="118"/>
      <c r="S95" s="118"/>
      <c r="T95" s="118"/>
      <c r="U95" s="118"/>
      <c r="V95" s="118"/>
      <c r="W95" s="118"/>
      <c r="X95" s="118">
        <f t="shared" si="22"/>
        <v>0</v>
      </c>
      <c r="Y95" s="118"/>
      <c r="Z95" s="118"/>
      <c r="AA95" s="118"/>
      <c r="AB95" s="118"/>
      <c r="AC95" s="118"/>
      <c r="AD95" s="118">
        <f t="shared" si="23"/>
        <v>0</v>
      </c>
      <c r="AE95" s="118"/>
      <c r="AF95" s="118"/>
      <c r="AG95" s="118"/>
      <c r="AH95" s="118"/>
      <c r="AI95" s="118"/>
      <c r="AJ95" s="118">
        <f t="shared" si="24"/>
        <v>0</v>
      </c>
      <c r="AK95" s="120">
        <v>23502000</v>
      </c>
      <c r="AL95" s="115"/>
      <c r="AM95" s="398"/>
      <c r="AN95" s="118"/>
      <c r="AO95" s="118"/>
      <c r="AP95" s="391">
        <f t="shared" si="21"/>
        <v>23502000</v>
      </c>
      <c r="AQ95" s="115"/>
      <c r="AR95" s="115"/>
      <c r="AS95" s="115"/>
      <c r="AT95" s="115"/>
      <c r="AU95" s="115"/>
      <c r="AV95" s="115"/>
    </row>
    <row r="96" spans="1:48" s="31" customFormat="1" ht="39">
      <c r="A96" s="119" t="s">
        <v>580</v>
      </c>
      <c r="B96" s="6"/>
      <c r="C96" s="6"/>
      <c r="D96" s="6" t="s">
        <v>310</v>
      </c>
      <c r="E96" s="322"/>
      <c r="F96" s="119" t="s">
        <v>18</v>
      </c>
      <c r="G96" s="396"/>
      <c r="H96" s="6" t="s">
        <v>118</v>
      </c>
      <c r="I96" s="6">
        <v>13</v>
      </c>
      <c r="J96" s="6"/>
      <c r="K96" s="399" t="s">
        <v>557</v>
      </c>
      <c r="L96" s="6"/>
      <c r="M96" s="118"/>
      <c r="N96" s="118"/>
      <c r="O96" s="118"/>
      <c r="P96" s="118"/>
      <c r="Q96" s="118"/>
      <c r="R96" s="118"/>
      <c r="S96" s="118"/>
      <c r="T96" s="118"/>
      <c r="U96" s="118"/>
      <c r="V96" s="118"/>
      <c r="W96" s="118"/>
      <c r="X96" s="118">
        <f t="shared" si="22"/>
        <v>0</v>
      </c>
      <c r="Y96" s="118"/>
      <c r="Z96" s="118"/>
      <c r="AA96" s="118"/>
      <c r="AB96" s="118"/>
      <c r="AC96" s="118"/>
      <c r="AD96" s="118">
        <f t="shared" si="23"/>
        <v>0</v>
      </c>
      <c r="AE96" s="118"/>
      <c r="AF96" s="118"/>
      <c r="AG96" s="118"/>
      <c r="AH96" s="118"/>
      <c r="AI96" s="118"/>
      <c r="AJ96" s="118">
        <f t="shared" si="24"/>
        <v>0</v>
      </c>
      <c r="AK96" s="120">
        <v>8535000</v>
      </c>
      <c r="AL96" s="115"/>
      <c r="AM96" s="398"/>
      <c r="AN96" s="118"/>
      <c r="AO96" s="118"/>
      <c r="AP96" s="391">
        <f t="shared" si="21"/>
        <v>8535000</v>
      </c>
      <c r="AQ96" s="115"/>
      <c r="AR96" s="115"/>
      <c r="AS96" s="120"/>
      <c r="AT96" s="115"/>
      <c r="AU96" s="115"/>
      <c r="AV96" s="115"/>
    </row>
    <row r="97" spans="1:48" s="32" customFormat="1" ht="15">
      <c r="A97" s="400" t="s">
        <v>192</v>
      </c>
      <c r="B97" s="400"/>
      <c r="C97" s="400"/>
      <c r="D97" s="400"/>
      <c r="E97" s="400"/>
      <c r="F97" s="400"/>
      <c r="G97" s="28"/>
      <c r="H97" s="28"/>
      <c r="I97" s="28"/>
      <c r="J97" s="28"/>
      <c r="K97" s="28"/>
      <c r="L97" s="28"/>
      <c r="M97" s="121">
        <f>SUM(M90:M96)</f>
        <v>10000000</v>
      </c>
      <c r="N97" s="121">
        <f t="shared" ref="N97:W97" si="25">SUM(N90:N96)</f>
        <v>0</v>
      </c>
      <c r="O97" s="121">
        <f t="shared" si="25"/>
        <v>0</v>
      </c>
      <c r="P97" s="121">
        <f t="shared" si="25"/>
        <v>0</v>
      </c>
      <c r="Q97" s="121">
        <f t="shared" si="25"/>
        <v>0</v>
      </c>
      <c r="R97" s="121">
        <f t="shared" si="25"/>
        <v>0</v>
      </c>
      <c r="S97" s="121">
        <f t="shared" si="25"/>
        <v>10000000</v>
      </c>
      <c r="T97" s="121">
        <f t="shared" si="25"/>
        <v>0</v>
      </c>
      <c r="U97" s="121">
        <f t="shared" si="25"/>
        <v>0</v>
      </c>
      <c r="V97" s="121">
        <f t="shared" si="25"/>
        <v>0</v>
      </c>
      <c r="W97" s="121">
        <f t="shared" si="25"/>
        <v>0</v>
      </c>
      <c r="X97" s="122">
        <f t="shared" si="22"/>
        <v>10000000</v>
      </c>
      <c r="Y97" s="121">
        <f>SUM(Y90:Y96)</f>
        <v>10000000</v>
      </c>
      <c r="Z97" s="121">
        <f>SUM(Z90:Z96)</f>
        <v>0</v>
      </c>
      <c r="AA97" s="121">
        <f>SUM(AA90:AA96)</f>
        <v>0</v>
      </c>
      <c r="AB97" s="121">
        <f>SUM(AB90:AB96)</f>
        <v>0</v>
      </c>
      <c r="AC97" s="121">
        <f>SUM(AC90:AC96)</f>
        <v>0</v>
      </c>
      <c r="AD97" s="122">
        <f t="shared" si="23"/>
        <v>10000000</v>
      </c>
      <c r="AE97" s="121">
        <f>SUM(AE90:AE96)</f>
        <v>10000000</v>
      </c>
      <c r="AF97" s="121">
        <f>SUM(AF90:AF96)</f>
        <v>0</v>
      </c>
      <c r="AG97" s="121">
        <f>SUM(AG90:AG96)</f>
        <v>0</v>
      </c>
      <c r="AH97" s="121">
        <f>SUM(AH90:AH96)</f>
        <v>0</v>
      </c>
      <c r="AI97" s="121">
        <f>SUM(AI90:AI96)</f>
        <v>0</v>
      </c>
      <c r="AJ97" s="122">
        <f t="shared" si="24"/>
        <v>10000000</v>
      </c>
      <c r="AK97" s="121">
        <f t="shared" ref="AK97:AP97" si="26">SUM(AK90:AK96)</f>
        <v>99121620</v>
      </c>
      <c r="AL97" s="121">
        <f t="shared" si="26"/>
        <v>754330</v>
      </c>
      <c r="AM97" s="121">
        <f t="shared" si="26"/>
        <v>1033200</v>
      </c>
      <c r="AN97" s="121">
        <f t="shared" si="26"/>
        <v>119280</v>
      </c>
      <c r="AO97" s="121">
        <f t="shared" si="26"/>
        <v>2940</v>
      </c>
      <c r="AP97" s="401">
        <f t="shared" si="26"/>
        <v>101031370</v>
      </c>
      <c r="AQ97" s="395"/>
      <c r="AR97" s="395"/>
      <c r="AS97" s="421"/>
      <c r="AT97" s="395"/>
      <c r="AU97" s="395"/>
      <c r="AV97" s="395"/>
    </row>
    <row r="98" spans="1:48" ht="30" customHeight="1">
      <c r="A98" s="82" t="s">
        <v>190</v>
      </c>
      <c r="B98" s="83"/>
      <c r="C98" s="83"/>
      <c r="D98" s="84"/>
      <c r="E98" s="84"/>
      <c r="F98" s="84"/>
      <c r="G98" s="85"/>
      <c r="H98" s="85"/>
      <c r="I98" s="85"/>
      <c r="J98" s="85"/>
      <c r="K98" s="85"/>
      <c r="L98" s="85"/>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86"/>
      <c r="AL98" s="86"/>
      <c r="AM98" s="86"/>
      <c r="AN98" s="86"/>
      <c r="AO98" s="86"/>
      <c r="AP98" s="353"/>
      <c r="AQ98" s="407"/>
      <c r="AR98" s="407"/>
      <c r="AS98" s="418"/>
      <c r="AT98" s="407"/>
      <c r="AU98" s="407"/>
      <c r="AV98" s="407"/>
    </row>
    <row r="99" spans="1:48" s="79" customFormat="1" ht="30" customHeight="1">
      <c r="A99" s="322" t="s">
        <v>307</v>
      </c>
      <c r="B99" s="322"/>
      <c r="C99" s="322"/>
      <c r="D99" s="96"/>
      <c r="E99" s="96"/>
      <c r="F99" s="5"/>
      <c r="G99" s="5"/>
      <c r="H99" s="5"/>
      <c r="I99" s="96"/>
      <c r="J99" s="6"/>
      <c r="K99" s="96"/>
      <c r="L99" s="96"/>
      <c r="M99" s="320"/>
      <c r="N99" s="320"/>
      <c r="O99" s="320"/>
      <c r="P99" s="320"/>
      <c r="Q99" s="320"/>
      <c r="R99" s="320"/>
      <c r="S99" s="320"/>
      <c r="T99" s="320"/>
      <c r="U99" s="320"/>
      <c r="V99" s="320"/>
      <c r="W99" s="320"/>
      <c r="X99" s="320"/>
      <c r="Y99" s="320"/>
      <c r="Z99" s="320"/>
      <c r="AA99" s="320"/>
      <c r="AB99" s="320"/>
      <c r="AC99" s="320"/>
      <c r="AD99" s="320"/>
      <c r="AE99" s="320"/>
      <c r="AF99" s="320"/>
      <c r="AG99" s="320"/>
      <c r="AH99" s="320"/>
      <c r="AI99" s="320"/>
      <c r="AJ99" s="320"/>
      <c r="AK99" s="87"/>
      <c r="AL99" s="87"/>
      <c r="AM99" s="87"/>
      <c r="AN99" s="87"/>
      <c r="AO99" s="87"/>
      <c r="AP99" s="354"/>
      <c r="AQ99" s="23"/>
      <c r="AR99" s="23"/>
      <c r="AS99" s="120">
        <v>23502000</v>
      </c>
      <c r="AT99" s="23"/>
      <c r="AU99" s="23"/>
      <c r="AV99" s="23"/>
    </row>
    <row r="100" spans="1:48" s="79" customFormat="1" ht="111" customHeight="1">
      <c r="A100" s="322" t="s">
        <v>531</v>
      </c>
      <c r="B100" s="322">
        <v>1</v>
      </c>
      <c r="C100" s="322">
        <v>100</v>
      </c>
      <c r="D100" s="96" t="s">
        <v>21</v>
      </c>
      <c r="E100" s="322" t="s">
        <v>286</v>
      </c>
      <c r="F100" s="98" t="s">
        <v>18</v>
      </c>
      <c r="G100" s="98" t="s">
        <v>287</v>
      </c>
      <c r="H100" s="99" t="s">
        <v>17</v>
      </c>
      <c r="I100" s="98"/>
      <c r="J100" s="6"/>
      <c r="K100" s="379" t="s">
        <v>559</v>
      </c>
      <c r="L100" s="5" t="s">
        <v>153</v>
      </c>
      <c r="M100" s="100">
        <v>100000</v>
      </c>
      <c r="N100" s="100"/>
      <c r="O100" s="88"/>
      <c r="P100" s="100">
        <v>0</v>
      </c>
      <c r="Q100" s="100">
        <v>0</v>
      </c>
      <c r="R100" s="100">
        <f>M100+P100+Q100</f>
        <v>100000</v>
      </c>
      <c r="S100" s="320">
        <v>1670550</v>
      </c>
      <c r="T100" s="320"/>
      <c r="U100" s="23"/>
      <c r="V100" s="320">
        <v>0</v>
      </c>
      <c r="W100" s="320">
        <v>0</v>
      </c>
      <c r="X100" s="320">
        <f>S100+V100+W100</f>
        <v>1670550</v>
      </c>
      <c r="Y100" s="320">
        <v>813693</v>
      </c>
      <c r="Z100" s="320"/>
      <c r="AA100" s="23"/>
      <c r="AB100" s="320">
        <v>0</v>
      </c>
      <c r="AC100" s="320">
        <v>0</v>
      </c>
      <c r="AD100" s="320">
        <f>Y100+AB100+AC100</f>
        <v>813693</v>
      </c>
      <c r="AE100" s="320">
        <v>182971</v>
      </c>
      <c r="AF100" s="320"/>
      <c r="AG100" s="23"/>
      <c r="AH100" s="320">
        <v>0</v>
      </c>
      <c r="AI100" s="320">
        <v>0</v>
      </c>
      <c r="AJ100" s="320">
        <f>AE100+AH100+AI100</f>
        <v>182971</v>
      </c>
      <c r="AK100" s="88">
        <f>M100+S100+Y100+AE100</f>
        <v>2767214</v>
      </c>
      <c r="AL100" s="88">
        <f t="shared" ref="AL100:AO110" si="27">N100+T100+Z100+AF100</f>
        <v>0</v>
      </c>
      <c r="AM100" s="88">
        <f t="shared" si="27"/>
        <v>0</v>
      </c>
      <c r="AN100" s="88">
        <f t="shared" si="27"/>
        <v>0</v>
      </c>
      <c r="AO100" s="88">
        <f t="shared" si="27"/>
        <v>0</v>
      </c>
      <c r="AP100" s="355">
        <f>SUM(AK100:AO100)</f>
        <v>2767214</v>
      </c>
      <c r="AQ100" s="23"/>
      <c r="AR100" s="23"/>
      <c r="AS100" s="120">
        <v>8535000</v>
      </c>
      <c r="AT100" s="23"/>
      <c r="AU100" s="23"/>
      <c r="AV100" s="23"/>
    </row>
    <row r="101" spans="1:48" s="79" customFormat="1" ht="21.75" customHeight="1">
      <c r="A101" s="322" t="s">
        <v>308</v>
      </c>
      <c r="B101" s="322"/>
      <c r="C101" s="322"/>
      <c r="D101" s="96"/>
      <c r="E101" s="96"/>
      <c r="F101" s="98"/>
      <c r="G101" s="98"/>
      <c r="H101" s="98"/>
      <c r="I101" s="98"/>
      <c r="J101" s="6"/>
      <c r="K101" s="5"/>
      <c r="L101" s="5"/>
      <c r="M101" s="100"/>
      <c r="N101" s="100"/>
      <c r="O101" s="88"/>
      <c r="P101" s="100"/>
      <c r="Q101" s="100"/>
      <c r="R101" s="100"/>
      <c r="S101" s="320"/>
      <c r="T101" s="320"/>
      <c r="U101" s="23"/>
      <c r="V101" s="320"/>
      <c r="W101" s="320"/>
      <c r="X101" s="320"/>
      <c r="Y101" s="320"/>
      <c r="Z101" s="320"/>
      <c r="AA101" s="23"/>
      <c r="AB101" s="320"/>
      <c r="AC101" s="320"/>
      <c r="AD101" s="320"/>
      <c r="AE101" s="320"/>
      <c r="AF101" s="320"/>
      <c r="AG101" s="23"/>
      <c r="AH101" s="320"/>
      <c r="AI101" s="320"/>
      <c r="AJ101" s="320"/>
      <c r="AK101" s="88">
        <f t="shared" ref="AK101:AK110" si="28">M101+S101+Y101+AE101</f>
        <v>0</v>
      </c>
      <c r="AL101" s="88">
        <f t="shared" si="27"/>
        <v>0</v>
      </c>
      <c r="AM101" s="88">
        <f t="shared" si="27"/>
        <v>0</v>
      </c>
      <c r="AN101" s="88">
        <f t="shared" si="27"/>
        <v>0</v>
      </c>
      <c r="AO101" s="88">
        <f t="shared" si="27"/>
        <v>0</v>
      </c>
      <c r="AP101" s="355">
        <f t="shared" ref="AP101:AP110" si="29">SUM(AK101:AO101)</f>
        <v>0</v>
      </c>
      <c r="AQ101" s="23"/>
      <c r="AR101" s="23"/>
      <c r="AS101" s="360">
        <f>SUM(AS96:AS100)</f>
        <v>32037000</v>
      </c>
      <c r="AT101" s="23"/>
      <c r="AU101" s="23"/>
      <c r="AV101" s="23"/>
    </row>
    <row r="102" spans="1:48" s="79" customFormat="1" ht="127.5">
      <c r="A102" s="322" t="s">
        <v>532</v>
      </c>
      <c r="B102" s="322">
        <v>1</v>
      </c>
      <c r="C102" s="322">
        <v>100</v>
      </c>
      <c r="D102" s="96" t="s">
        <v>20</v>
      </c>
      <c r="E102" s="322" t="s">
        <v>22</v>
      </c>
      <c r="F102" s="98" t="s">
        <v>18</v>
      </c>
      <c r="G102" s="98" t="s">
        <v>287</v>
      </c>
      <c r="H102" s="101" t="s">
        <v>288</v>
      </c>
      <c r="I102" s="98"/>
      <c r="J102" s="6"/>
      <c r="K102" s="379" t="s">
        <v>558</v>
      </c>
      <c r="L102" s="5" t="s">
        <v>153</v>
      </c>
      <c r="M102" s="100">
        <v>44255644</v>
      </c>
      <c r="N102" s="100"/>
      <c r="O102" s="88"/>
      <c r="P102" s="100">
        <v>0</v>
      </c>
      <c r="Q102" s="100">
        <v>0</v>
      </c>
      <c r="R102" s="100">
        <f>M102+P102+Q102</f>
        <v>44255644</v>
      </c>
      <c r="S102" s="320">
        <v>47492937</v>
      </c>
      <c r="T102" s="320"/>
      <c r="U102" s="23"/>
      <c r="V102" s="320">
        <v>0</v>
      </c>
      <c r="W102" s="320">
        <v>0</v>
      </c>
      <c r="X102" s="320">
        <f>S102+V102+W102</f>
        <v>47492937</v>
      </c>
      <c r="Y102" s="320">
        <v>45671426</v>
      </c>
      <c r="Z102" s="320"/>
      <c r="AA102" s="23"/>
      <c r="AB102" s="320">
        <v>0</v>
      </c>
      <c r="AC102" s="320">
        <v>0</v>
      </c>
      <c r="AD102" s="320">
        <f>Y102+AB102+AC102</f>
        <v>45671426</v>
      </c>
      <c r="AE102" s="320">
        <v>32398640</v>
      </c>
      <c r="AF102" s="320"/>
      <c r="AG102" s="23"/>
      <c r="AH102" s="320">
        <v>0</v>
      </c>
      <c r="AI102" s="320">
        <v>0</v>
      </c>
      <c r="AJ102" s="320">
        <f>AE102+AH102+AI102</f>
        <v>32398640</v>
      </c>
      <c r="AK102" s="88">
        <f t="shared" si="28"/>
        <v>169818647</v>
      </c>
      <c r="AL102" s="88">
        <f t="shared" si="27"/>
        <v>0</v>
      </c>
      <c r="AM102" s="88">
        <f t="shared" si="27"/>
        <v>0</v>
      </c>
      <c r="AN102" s="88">
        <f t="shared" si="27"/>
        <v>0</v>
      </c>
      <c r="AO102" s="88">
        <f t="shared" si="27"/>
        <v>0</v>
      </c>
      <c r="AP102" s="355">
        <f t="shared" si="29"/>
        <v>169818647</v>
      </c>
      <c r="AQ102" s="23"/>
      <c r="AR102" s="23"/>
      <c r="AS102" s="23"/>
      <c r="AT102" s="23"/>
      <c r="AU102" s="23"/>
      <c r="AV102" s="23"/>
    </row>
    <row r="103" spans="1:48" s="79" customFormat="1" ht="149.25" customHeight="1">
      <c r="A103" s="322" t="s">
        <v>533</v>
      </c>
      <c r="B103" s="322">
        <v>3</v>
      </c>
      <c r="C103" s="322">
        <v>85</v>
      </c>
      <c r="D103" s="96" t="s">
        <v>16</v>
      </c>
      <c r="E103" s="322" t="s">
        <v>23</v>
      </c>
      <c r="F103" s="98" t="s">
        <v>18</v>
      </c>
      <c r="G103" s="98" t="s">
        <v>287</v>
      </c>
      <c r="H103" s="101" t="s">
        <v>288</v>
      </c>
      <c r="I103" s="98"/>
      <c r="J103" s="6"/>
      <c r="K103" s="361" t="s">
        <v>560</v>
      </c>
      <c r="L103" s="5" t="s">
        <v>153</v>
      </c>
      <c r="M103" s="318">
        <v>3406100</v>
      </c>
      <c r="N103" s="100"/>
      <c r="O103" s="88"/>
      <c r="P103" s="100">
        <v>0</v>
      </c>
      <c r="Q103" s="100">
        <v>0</v>
      </c>
      <c r="R103" s="318">
        <v>3406100</v>
      </c>
      <c r="S103" s="319">
        <v>2841310</v>
      </c>
      <c r="T103" s="320"/>
      <c r="U103" s="23"/>
      <c r="V103" s="320">
        <v>0</v>
      </c>
      <c r="W103" s="320">
        <v>0</v>
      </c>
      <c r="X103" s="320">
        <f>SUM(S103:W103)</f>
        <v>2841310</v>
      </c>
      <c r="Y103" s="320">
        <v>9026200</v>
      </c>
      <c r="Z103" s="320"/>
      <c r="AA103" s="23"/>
      <c r="AB103" s="320">
        <v>0</v>
      </c>
      <c r="AC103" s="320">
        <v>0</v>
      </c>
      <c r="AD103" s="320">
        <f>SUM(Y103:AC103)</f>
        <v>9026200</v>
      </c>
      <c r="AE103" s="320">
        <v>5079000</v>
      </c>
      <c r="AF103" s="320"/>
      <c r="AG103" s="23"/>
      <c r="AH103" s="320">
        <v>0</v>
      </c>
      <c r="AI103" s="320">
        <v>0</v>
      </c>
      <c r="AJ103" s="320">
        <f>SUM(AE103:AI103)</f>
        <v>5079000</v>
      </c>
      <c r="AK103" s="88">
        <f t="shared" si="28"/>
        <v>20352610</v>
      </c>
      <c r="AL103" s="88">
        <f t="shared" si="27"/>
        <v>0</v>
      </c>
      <c r="AM103" s="88">
        <f t="shared" si="27"/>
        <v>0</v>
      </c>
      <c r="AN103" s="88">
        <f t="shared" si="27"/>
        <v>0</v>
      </c>
      <c r="AO103" s="88">
        <f t="shared" si="27"/>
        <v>0</v>
      </c>
      <c r="AP103" s="355">
        <f t="shared" si="29"/>
        <v>20352610</v>
      </c>
      <c r="AQ103" s="23"/>
      <c r="AR103" s="23"/>
      <c r="AS103" s="23"/>
      <c r="AT103" s="23"/>
      <c r="AU103" s="23"/>
      <c r="AV103" s="23"/>
    </row>
    <row r="104" spans="1:48" s="326" customFormat="1" ht="51">
      <c r="A104" s="30"/>
      <c r="B104" s="30"/>
      <c r="C104" s="30"/>
      <c r="D104" s="362"/>
      <c r="E104" s="362"/>
      <c r="F104" s="363"/>
      <c r="G104" s="363"/>
      <c r="H104" s="363"/>
      <c r="I104" s="363"/>
      <c r="J104" s="26"/>
      <c r="K104" s="364"/>
      <c r="L104" s="365"/>
      <c r="M104" s="366"/>
      <c r="N104" s="366"/>
      <c r="O104" s="367" t="s">
        <v>305</v>
      </c>
      <c r="P104" s="367"/>
      <c r="Q104" s="367"/>
      <c r="R104" s="367"/>
      <c r="S104" s="367"/>
      <c r="T104" s="367"/>
      <c r="U104" s="367"/>
      <c r="V104" s="367"/>
      <c r="W104" s="367"/>
      <c r="X104" s="367"/>
      <c r="Y104" s="367"/>
      <c r="Z104" s="367"/>
      <c r="AA104" s="367"/>
      <c r="AB104" s="367"/>
      <c r="AC104" s="367"/>
      <c r="AD104" s="367"/>
      <c r="AE104" s="367"/>
      <c r="AF104" s="367"/>
      <c r="AG104" s="367"/>
      <c r="AH104" s="367"/>
      <c r="AI104" s="367"/>
      <c r="AJ104" s="367"/>
      <c r="AK104" s="325"/>
      <c r="AL104" s="325"/>
      <c r="AM104" s="325"/>
      <c r="AN104" s="325"/>
      <c r="AO104" s="325"/>
      <c r="AP104" s="356">
        <f t="shared" si="29"/>
        <v>0</v>
      </c>
      <c r="AQ104" s="45"/>
      <c r="AR104" s="45"/>
      <c r="AS104" s="45"/>
      <c r="AT104" s="45"/>
      <c r="AU104" s="45"/>
      <c r="AV104" s="45"/>
    </row>
    <row r="105" spans="1:48" s="326" customFormat="1" ht="38.25">
      <c r="A105" s="30" t="s">
        <v>568</v>
      </c>
      <c r="B105" s="30"/>
      <c r="C105" s="30"/>
      <c r="D105" s="362" t="s">
        <v>290</v>
      </c>
      <c r="E105" s="362"/>
      <c r="F105" s="363"/>
      <c r="G105" s="363"/>
      <c r="H105" s="363"/>
      <c r="I105" s="363"/>
      <c r="J105" s="26"/>
      <c r="K105" s="365" t="s">
        <v>303</v>
      </c>
      <c r="L105" s="30"/>
      <c r="M105" s="368">
        <v>729880</v>
      </c>
      <c r="N105" s="369"/>
      <c r="O105" s="325"/>
      <c r="P105" s="369"/>
      <c r="Q105" s="369"/>
      <c r="R105" s="368">
        <v>729880</v>
      </c>
      <c r="S105" s="370">
        <v>608850</v>
      </c>
      <c r="T105" s="366"/>
      <c r="U105" s="45"/>
      <c r="V105" s="366"/>
      <c r="W105" s="366"/>
      <c r="X105" s="370">
        <v>608850</v>
      </c>
      <c r="Y105" s="366">
        <v>1934185</v>
      </c>
      <c r="Z105" s="366"/>
      <c r="AA105" s="45"/>
      <c r="AB105" s="366"/>
      <c r="AC105" s="366"/>
      <c r="AD105" s="366">
        <v>1934185</v>
      </c>
      <c r="AE105" s="366">
        <v>1088355</v>
      </c>
      <c r="AF105" s="366"/>
      <c r="AG105" s="45"/>
      <c r="AH105" s="366"/>
      <c r="AI105" s="366"/>
      <c r="AJ105" s="366">
        <v>1088355</v>
      </c>
      <c r="AK105" s="325">
        <f t="shared" si="28"/>
        <v>4361270</v>
      </c>
      <c r="AL105" s="325">
        <f t="shared" si="27"/>
        <v>0</v>
      </c>
      <c r="AM105" s="325">
        <f t="shared" si="27"/>
        <v>0</v>
      </c>
      <c r="AN105" s="325">
        <f t="shared" si="27"/>
        <v>0</v>
      </c>
      <c r="AO105" s="325">
        <f t="shared" si="27"/>
        <v>0</v>
      </c>
      <c r="AP105" s="356">
        <f t="shared" si="29"/>
        <v>4361270</v>
      </c>
      <c r="AQ105" s="45"/>
      <c r="AR105" s="45"/>
      <c r="AS105" s="45"/>
      <c r="AT105" s="45"/>
      <c r="AU105" s="45"/>
      <c r="AV105" s="45"/>
    </row>
    <row r="106" spans="1:48" s="79" customFormat="1" ht="50.25" customHeight="1">
      <c r="A106" s="5" t="s">
        <v>534</v>
      </c>
      <c r="B106" s="5">
        <v>2</v>
      </c>
      <c r="C106" s="5">
        <v>95</v>
      </c>
      <c r="D106" s="96" t="s">
        <v>24</v>
      </c>
      <c r="E106" s="322" t="s">
        <v>33</v>
      </c>
      <c r="F106" s="5" t="s">
        <v>25</v>
      </c>
      <c r="G106" s="5" t="s">
        <v>26</v>
      </c>
      <c r="H106" s="101" t="s">
        <v>288</v>
      </c>
      <c r="I106" s="98"/>
      <c r="J106" s="6"/>
      <c r="K106" s="379" t="s">
        <v>581</v>
      </c>
      <c r="L106" s="5" t="s">
        <v>153</v>
      </c>
      <c r="M106" s="100">
        <v>296568</v>
      </c>
      <c r="N106" s="100"/>
      <c r="O106" s="88"/>
      <c r="P106" s="100">
        <v>353802</v>
      </c>
      <c r="Q106" s="100">
        <v>0</v>
      </c>
      <c r="R106" s="100">
        <f>M106+P106+Q106</f>
        <v>650370</v>
      </c>
      <c r="S106" s="320">
        <v>0</v>
      </c>
      <c r="T106" s="106"/>
      <c r="U106" s="23"/>
      <c r="V106" s="320">
        <v>0</v>
      </c>
      <c r="W106" s="320">
        <v>0</v>
      </c>
      <c r="X106" s="320">
        <f>S106+V106+W106</f>
        <v>0</v>
      </c>
      <c r="Y106" s="320">
        <v>0</v>
      </c>
      <c r="Z106" s="106"/>
      <c r="AA106" s="23"/>
      <c r="AB106" s="320">
        <v>0</v>
      </c>
      <c r="AC106" s="320">
        <v>0</v>
      </c>
      <c r="AD106" s="320">
        <f>Y106+AB106+AC106</f>
        <v>0</v>
      </c>
      <c r="AE106" s="320">
        <v>0</v>
      </c>
      <c r="AF106" s="320"/>
      <c r="AG106" s="23"/>
      <c r="AH106" s="320">
        <v>0</v>
      </c>
      <c r="AI106" s="320">
        <v>0</v>
      </c>
      <c r="AJ106" s="320">
        <f>AE106+AH106+AI106</f>
        <v>0</v>
      </c>
      <c r="AK106" s="88">
        <f t="shared" si="28"/>
        <v>296568</v>
      </c>
      <c r="AL106" s="88">
        <f t="shared" si="27"/>
        <v>0</v>
      </c>
      <c r="AM106" s="88">
        <f t="shared" si="27"/>
        <v>0</v>
      </c>
      <c r="AN106" s="88">
        <f>P106+V106+AB106+AH106</f>
        <v>353802</v>
      </c>
      <c r="AO106" s="88">
        <f t="shared" si="27"/>
        <v>0</v>
      </c>
      <c r="AP106" s="355">
        <f t="shared" si="29"/>
        <v>650370</v>
      </c>
      <c r="AQ106" s="23"/>
      <c r="AR106" s="23"/>
      <c r="AS106" s="23"/>
      <c r="AT106" s="23"/>
      <c r="AU106" s="23"/>
      <c r="AV106" s="23"/>
    </row>
    <row r="107" spans="1:48" s="79" customFormat="1" ht="63.75">
      <c r="A107" s="5" t="s">
        <v>535</v>
      </c>
      <c r="B107" s="5">
        <v>3</v>
      </c>
      <c r="C107" s="5">
        <v>85</v>
      </c>
      <c r="D107" s="96" t="s">
        <v>29</v>
      </c>
      <c r="E107" s="96" t="s">
        <v>293</v>
      </c>
      <c r="F107" s="98" t="s">
        <v>18</v>
      </c>
      <c r="G107" s="98" t="s">
        <v>287</v>
      </c>
      <c r="H107" s="101" t="s">
        <v>288</v>
      </c>
      <c r="I107" s="98"/>
      <c r="J107" s="6"/>
      <c r="K107" s="379" t="s">
        <v>561</v>
      </c>
      <c r="L107" s="5" t="s">
        <v>153</v>
      </c>
      <c r="M107" s="100">
        <v>1532953</v>
      </c>
      <c r="N107" s="100"/>
      <c r="O107" s="88"/>
      <c r="P107" s="100">
        <v>0</v>
      </c>
      <c r="Q107" s="100">
        <v>0</v>
      </c>
      <c r="R107" s="100">
        <f>M107+P107+Q107</f>
        <v>1532953</v>
      </c>
      <c r="S107" s="320">
        <v>3104554</v>
      </c>
      <c r="T107" s="320"/>
      <c r="U107" s="23"/>
      <c r="V107" s="320">
        <v>0</v>
      </c>
      <c r="W107" s="320">
        <v>0</v>
      </c>
      <c r="X107" s="320">
        <f>S107+V107+W107</f>
        <v>3104554</v>
      </c>
      <c r="Y107" s="320">
        <v>7893504</v>
      </c>
      <c r="Z107" s="320"/>
      <c r="AA107" s="23"/>
      <c r="AB107" s="320">
        <v>0</v>
      </c>
      <c r="AC107" s="320">
        <v>0</v>
      </c>
      <c r="AD107" s="320">
        <f>Y107+AB107+AC107</f>
        <v>7893504</v>
      </c>
      <c r="AE107" s="320">
        <v>0</v>
      </c>
      <c r="AF107" s="320"/>
      <c r="AG107" s="23"/>
      <c r="AH107" s="320">
        <v>0</v>
      </c>
      <c r="AI107" s="320">
        <v>0</v>
      </c>
      <c r="AJ107" s="320">
        <f>AE107+AH107+AI107</f>
        <v>0</v>
      </c>
      <c r="AK107" s="88">
        <f t="shared" si="28"/>
        <v>12531011</v>
      </c>
      <c r="AL107" s="88">
        <f t="shared" si="27"/>
        <v>0</v>
      </c>
      <c r="AM107" s="88">
        <f t="shared" si="27"/>
        <v>0</v>
      </c>
      <c r="AN107" s="88">
        <f t="shared" si="27"/>
        <v>0</v>
      </c>
      <c r="AO107" s="88">
        <f t="shared" si="27"/>
        <v>0</v>
      </c>
      <c r="AP107" s="355">
        <f t="shared" si="29"/>
        <v>12531011</v>
      </c>
      <c r="AQ107" s="23"/>
      <c r="AR107" s="23"/>
      <c r="AS107" s="23"/>
      <c r="AT107" s="23"/>
      <c r="AU107" s="23"/>
      <c r="AV107" s="23"/>
    </row>
    <row r="108" spans="1:48" s="79" customFormat="1" ht="64.5" customHeight="1">
      <c r="A108" s="5" t="s">
        <v>536</v>
      </c>
      <c r="B108" s="5">
        <v>3</v>
      </c>
      <c r="C108" s="5">
        <v>85</v>
      </c>
      <c r="D108" s="96" t="s">
        <v>16</v>
      </c>
      <c r="E108" s="96" t="s">
        <v>34</v>
      </c>
      <c r="F108" s="98" t="s">
        <v>18</v>
      </c>
      <c r="G108" s="98" t="s">
        <v>287</v>
      </c>
      <c r="H108" s="101" t="s">
        <v>288</v>
      </c>
      <c r="I108" s="98"/>
      <c r="J108" s="6"/>
      <c r="K108" s="383" t="s">
        <v>562</v>
      </c>
      <c r="L108" s="5" t="s">
        <v>153</v>
      </c>
      <c r="M108" s="100">
        <v>2960789</v>
      </c>
      <c r="N108" s="100"/>
      <c r="O108" s="88"/>
      <c r="P108" s="100">
        <v>0</v>
      </c>
      <c r="Q108" s="100">
        <v>0</v>
      </c>
      <c r="R108" s="100">
        <f>M108+P108+Q108</f>
        <v>2960789</v>
      </c>
      <c r="S108" s="320">
        <v>3108828</v>
      </c>
      <c r="T108" s="320"/>
      <c r="U108" s="23"/>
      <c r="V108" s="320">
        <v>0</v>
      </c>
      <c r="W108" s="320">
        <v>0</v>
      </c>
      <c r="X108" s="320">
        <f>S108+V108+W108</f>
        <v>3108828</v>
      </c>
      <c r="Y108" s="320">
        <v>3506044</v>
      </c>
      <c r="Z108" s="320"/>
      <c r="AA108" s="23"/>
      <c r="AB108" s="320">
        <v>0</v>
      </c>
      <c r="AC108" s="320">
        <v>0</v>
      </c>
      <c r="AD108" s="320">
        <f>Y108+AB108+AC108</f>
        <v>3506044</v>
      </c>
      <c r="AE108" s="320">
        <v>0</v>
      </c>
      <c r="AF108" s="320"/>
      <c r="AG108" s="23"/>
      <c r="AH108" s="320">
        <v>0</v>
      </c>
      <c r="AI108" s="320">
        <v>0</v>
      </c>
      <c r="AJ108" s="320">
        <f>AE108+AH108+AI108</f>
        <v>0</v>
      </c>
      <c r="AK108" s="88">
        <f t="shared" si="28"/>
        <v>9575661</v>
      </c>
      <c r="AL108" s="88">
        <f t="shared" si="27"/>
        <v>0</v>
      </c>
      <c r="AM108" s="88">
        <f t="shared" si="27"/>
        <v>0</v>
      </c>
      <c r="AN108" s="88">
        <f t="shared" si="27"/>
        <v>0</v>
      </c>
      <c r="AO108" s="88">
        <f t="shared" si="27"/>
        <v>0</v>
      </c>
      <c r="AP108" s="355">
        <f t="shared" si="29"/>
        <v>9575661</v>
      </c>
      <c r="AQ108" s="23"/>
      <c r="AR108" s="23"/>
      <c r="AS108" s="23"/>
      <c r="AT108" s="23"/>
      <c r="AU108" s="23"/>
      <c r="AV108" s="23"/>
    </row>
    <row r="109" spans="1:48" s="79" customFormat="1" ht="258.75" customHeight="1">
      <c r="A109" s="5" t="s">
        <v>537</v>
      </c>
      <c r="B109" s="5">
        <v>1</v>
      </c>
      <c r="C109" s="5">
        <v>100</v>
      </c>
      <c r="D109" s="96" t="s">
        <v>30</v>
      </c>
      <c r="E109" s="96" t="s">
        <v>35</v>
      </c>
      <c r="F109" s="5" t="s">
        <v>25</v>
      </c>
      <c r="G109" s="5" t="s">
        <v>296</v>
      </c>
      <c r="H109" s="101" t="s">
        <v>288</v>
      </c>
      <c r="I109" s="98"/>
      <c r="J109" s="6"/>
      <c r="K109" s="365" t="s">
        <v>569</v>
      </c>
      <c r="L109" s="5" t="s">
        <v>153</v>
      </c>
      <c r="M109" s="100">
        <v>0</v>
      </c>
      <c r="N109" s="100"/>
      <c r="O109" s="88"/>
      <c r="P109" s="100">
        <v>0</v>
      </c>
      <c r="Q109" s="100">
        <v>0</v>
      </c>
      <c r="R109" s="100">
        <f>M109+P109+Q109</f>
        <v>0</v>
      </c>
      <c r="S109" s="320">
        <v>0</v>
      </c>
      <c r="T109" s="320"/>
      <c r="U109" s="23"/>
      <c r="V109" s="320">
        <v>0</v>
      </c>
      <c r="W109" s="320">
        <v>0</v>
      </c>
      <c r="X109" s="320">
        <f>S109+V109+W109</f>
        <v>0</v>
      </c>
      <c r="Y109" s="320">
        <v>0</v>
      </c>
      <c r="Z109" s="320"/>
      <c r="AA109" s="23"/>
      <c r="AB109" s="320">
        <v>0</v>
      </c>
      <c r="AC109" s="320">
        <v>0</v>
      </c>
      <c r="AD109" s="320">
        <v>0</v>
      </c>
      <c r="AE109" s="320">
        <v>0</v>
      </c>
      <c r="AF109" s="320"/>
      <c r="AG109" s="23"/>
      <c r="AH109" s="320">
        <v>0</v>
      </c>
      <c r="AI109" s="320">
        <v>0</v>
      </c>
      <c r="AJ109" s="320">
        <f>AE109+AH109+AI109</f>
        <v>0</v>
      </c>
      <c r="AK109" s="88">
        <f t="shared" si="28"/>
        <v>0</v>
      </c>
      <c r="AL109" s="88">
        <f t="shared" si="27"/>
        <v>0</v>
      </c>
      <c r="AM109" s="88">
        <f t="shared" si="27"/>
        <v>0</v>
      </c>
      <c r="AN109" s="88">
        <f t="shared" si="27"/>
        <v>0</v>
      </c>
      <c r="AO109" s="88">
        <f t="shared" si="27"/>
        <v>0</v>
      </c>
      <c r="AP109" s="355">
        <f t="shared" si="29"/>
        <v>0</v>
      </c>
      <c r="AQ109" s="23"/>
      <c r="AR109" s="23"/>
      <c r="AS109" s="23"/>
      <c r="AT109" s="23"/>
      <c r="AU109" s="23"/>
      <c r="AV109" s="23"/>
    </row>
    <row r="110" spans="1:48" s="79" customFormat="1" ht="127.5">
      <c r="A110" s="322" t="s">
        <v>538</v>
      </c>
      <c r="B110" s="322" t="s">
        <v>152</v>
      </c>
      <c r="C110" s="322" t="s">
        <v>152</v>
      </c>
      <c r="D110" s="96" t="s">
        <v>31</v>
      </c>
      <c r="E110" s="96" t="s">
        <v>36</v>
      </c>
      <c r="F110" s="5" t="s">
        <v>25</v>
      </c>
      <c r="G110" s="5" t="s">
        <v>298</v>
      </c>
      <c r="H110" s="5" t="s">
        <v>32</v>
      </c>
      <c r="I110" s="103" t="s">
        <v>299</v>
      </c>
      <c r="J110" s="6"/>
      <c r="K110" s="365" t="s">
        <v>570</v>
      </c>
      <c r="L110" s="5" t="s">
        <v>153</v>
      </c>
      <c r="M110" s="100">
        <v>0</v>
      </c>
      <c r="N110" s="100"/>
      <c r="O110" s="88"/>
      <c r="P110" s="100">
        <v>0</v>
      </c>
      <c r="Q110" s="100">
        <v>0</v>
      </c>
      <c r="R110" s="100">
        <f>SUM(M110:Q110)</f>
        <v>0</v>
      </c>
      <c r="S110" s="320">
        <v>0</v>
      </c>
      <c r="T110" s="320"/>
      <c r="U110" s="23"/>
      <c r="V110" s="320">
        <v>0</v>
      </c>
      <c r="W110" s="320">
        <v>0</v>
      </c>
      <c r="X110" s="320">
        <f>SUM(S110:W110)</f>
        <v>0</v>
      </c>
      <c r="Y110" s="320">
        <v>0</v>
      </c>
      <c r="Z110" s="320"/>
      <c r="AA110" s="23"/>
      <c r="AB110" s="320">
        <v>0</v>
      </c>
      <c r="AC110" s="320">
        <v>0</v>
      </c>
      <c r="AD110" s="320">
        <f>SUM(Y110:AC110)</f>
        <v>0</v>
      </c>
      <c r="AE110" s="320">
        <v>0</v>
      </c>
      <c r="AF110" s="320"/>
      <c r="AG110" s="23"/>
      <c r="AH110" s="320">
        <v>0</v>
      </c>
      <c r="AI110" s="320">
        <v>0</v>
      </c>
      <c r="AJ110" s="320">
        <f>SUM(AE110:AI110)</f>
        <v>0</v>
      </c>
      <c r="AK110" s="88">
        <f t="shared" si="28"/>
        <v>0</v>
      </c>
      <c r="AL110" s="88">
        <f t="shared" si="27"/>
        <v>0</v>
      </c>
      <c r="AM110" s="88">
        <f t="shared" si="27"/>
        <v>0</v>
      </c>
      <c r="AN110" s="88">
        <f t="shared" si="27"/>
        <v>0</v>
      </c>
      <c r="AO110" s="88">
        <f t="shared" si="27"/>
        <v>0</v>
      </c>
      <c r="AP110" s="355">
        <f t="shared" si="29"/>
        <v>0</v>
      </c>
      <c r="AQ110" s="23"/>
      <c r="AR110" s="23"/>
      <c r="AS110" s="23"/>
      <c r="AT110" s="23"/>
      <c r="AU110" s="23"/>
      <c r="AV110" s="23"/>
    </row>
    <row r="111" spans="1:48" s="79" customFormat="1" ht="51">
      <c r="A111" s="3" t="s">
        <v>571</v>
      </c>
      <c r="B111" s="23"/>
      <c r="C111" s="23"/>
      <c r="D111" s="4" t="s">
        <v>38</v>
      </c>
      <c r="E111" s="10"/>
      <c r="F111" s="4"/>
      <c r="G111" s="4"/>
      <c r="H111" s="4"/>
      <c r="I111" s="103"/>
      <c r="J111" s="6"/>
      <c r="K111" s="5"/>
      <c r="L111" s="5"/>
      <c r="M111" s="100"/>
      <c r="N111" s="100"/>
      <c r="O111" s="88"/>
      <c r="P111" s="100"/>
      <c r="Q111" s="100"/>
      <c r="R111" s="100"/>
      <c r="S111" s="320"/>
      <c r="T111" s="320"/>
      <c r="U111" s="23"/>
      <c r="V111" s="320"/>
      <c r="W111" s="320"/>
      <c r="X111" s="320"/>
      <c r="Y111" s="320"/>
      <c r="Z111" s="320"/>
      <c r="AA111" s="23"/>
      <c r="AB111" s="320"/>
      <c r="AC111" s="320"/>
      <c r="AD111" s="320"/>
      <c r="AE111" s="320"/>
      <c r="AF111" s="320"/>
      <c r="AG111" s="23"/>
      <c r="AH111" s="320"/>
      <c r="AI111" s="320"/>
      <c r="AJ111" s="320"/>
      <c r="AK111" s="88"/>
      <c r="AL111" s="88"/>
      <c r="AM111" s="88"/>
      <c r="AN111" s="88"/>
      <c r="AO111" s="88"/>
      <c r="AP111" s="355"/>
      <c r="AQ111" s="23"/>
      <c r="AR111" s="23"/>
      <c r="AS111" s="23"/>
      <c r="AT111" s="23"/>
      <c r="AU111" s="23"/>
      <c r="AV111" s="23"/>
    </row>
    <row r="112" spans="1:48" s="79" customFormat="1" ht="25.5">
      <c r="A112" s="2" t="s">
        <v>572</v>
      </c>
      <c r="B112" s="23"/>
      <c r="C112" s="23"/>
      <c r="D112" s="4" t="s">
        <v>38</v>
      </c>
      <c r="E112" s="10"/>
      <c r="F112" s="4"/>
      <c r="G112" s="4"/>
      <c r="H112" s="4"/>
      <c r="I112" s="103"/>
      <c r="J112" s="6"/>
      <c r="K112" s="5"/>
      <c r="L112" s="5"/>
      <c r="M112" s="100"/>
      <c r="N112" s="100"/>
      <c r="O112" s="88"/>
      <c r="P112" s="100"/>
      <c r="Q112" s="100"/>
      <c r="R112" s="100"/>
      <c r="S112" s="320"/>
      <c r="T112" s="320"/>
      <c r="U112" s="23"/>
      <c r="V112" s="320"/>
      <c r="W112" s="320"/>
      <c r="X112" s="320"/>
      <c r="Y112" s="320"/>
      <c r="Z112" s="320"/>
      <c r="AA112" s="23"/>
      <c r="AB112" s="320"/>
      <c r="AC112" s="320"/>
      <c r="AD112" s="320"/>
      <c r="AE112" s="320"/>
      <c r="AF112" s="320"/>
      <c r="AG112" s="23"/>
      <c r="AH112" s="320"/>
      <c r="AI112" s="320"/>
      <c r="AJ112" s="320"/>
      <c r="AK112" s="88"/>
      <c r="AL112" s="88"/>
      <c r="AM112" s="88"/>
      <c r="AN112" s="88"/>
      <c r="AO112" s="88"/>
      <c r="AP112" s="355"/>
      <c r="AQ112" s="23"/>
      <c r="AR112" s="23"/>
      <c r="AS112" s="23"/>
      <c r="AT112" s="23"/>
      <c r="AU112" s="23"/>
      <c r="AV112" s="23"/>
    </row>
    <row r="113" spans="1:48" s="79" customFormat="1" ht="63.75">
      <c r="A113" s="2" t="s">
        <v>539</v>
      </c>
      <c r="B113" s="23"/>
      <c r="C113" s="23"/>
      <c r="D113" s="4" t="s">
        <v>39</v>
      </c>
      <c r="E113" s="10" t="s">
        <v>40</v>
      </c>
      <c r="F113" s="4" t="s">
        <v>41</v>
      </c>
      <c r="G113" s="4" t="s">
        <v>19</v>
      </c>
      <c r="H113" s="4" t="s">
        <v>42</v>
      </c>
      <c r="I113" s="103"/>
      <c r="J113" s="6"/>
      <c r="K113" s="379" t="s">
        <v>564</v>
      </c>
      <c r="L113" s="5"/>
      <c r="M113" s="100">
        <v>441488</v>
      </c>
      <c r="N113" s="100"/>
      <c r="O113" s="88"/>
      <c r="P113" s="100"/>
      <c r="Q113" s="100"/>
      <c r="R113" s="100">
        <f>SUM(M113:Q113)</f>
        <v>441488</v>
      </c>
      <c r="S113" s="320">
        <v>541249</v>
      </c>
      <c r="T113" s="320"/>
      <c r="U113" s="23"/>
      <c r="V113" s="320"/>
      <c r="W113" s="320"/>
      <c r="X113" s="320">
        <f>SUM(S113:W113)</f>
        <v>541249</v>
      </c>
      <c r="Y113" s="320">
        <v>1658880</v>
      </c>
      <c r="Z113" s="320"/>
      <c r="AA113" s="23"/>
      <c r="AB113" s="320"/>
      <c r="AC113" s="320"/>
      <c r="AD113" s="320">
        <f>SUM(Y113:AC113)</f>
        <v>1658880</v>
      </c>
      <c r="AE113" s="320">
        <v>1990656</v>
      </c>
      <c r="AF113" s="320"/>
      <c r="AG113" s="23"/>
      <c r="AH113" s="320"/>
      <c r="AI113" s="320"/>
      <c r="AJ113" s="320">
        <f>SUM(AE113:AI113)</f>
        <v>1990656</v>
      </c>
      <c r="AK113" s="88">
        <f t="shared" ref="AK113:AO116" si="30">M113+S113+Y113+AE113</f>
        <v>4632273</v>
      </c>
      <c r="AL113" s="88">
        <f t="shared" si="30"/>
        <v>0</v>
      </c>
      <c r="AM113" s="88">
        <f t="shared" si="30"/>
        <v>0</v>
      </c>
      <c r="AN113" s="88">
        <f t="shared" si="30"/>
        <v>0</v>
      </c>
      <c r="AO113" s="88">
        <f t="shared" si="30"/>
        <v>0</v>
      </c>
      <c r="AP113" s="355">
        <f>SUM(AK113:AO113)</f>
        <v>4632273</v>
      </c>
      <c r="AQ113" s="23"/>
      <c r="AR113" s="23"/>
      <c r="AS113" s="23"/>
      <c r="AT113" s="23"/>
      <c r="AU113" s="23"/>
      <c r="AV113" s="23"/>
    </row>
    <row r="114" spans="1:48" s="79" customFormat="1" ht="141" customHeight="1">
      <c r="A114" s="2" t="s">
        <v>540</v>
      </c>
      <c r="B114" s="23"/>
      <c r="C114" s="23"/>
      <c r="D114" s="4" t="s">
        <v>39</v>
      </c>
      <c r="E114" s="10" t="s">
        <v>43</v>
      </c>
      <c r="F114" s="4" t="s">
        <v>18</v>
      </c>
      <c r="G114" s="4" t="s">
        <v>19</v>
      </c>
      <c r="H114" s="4" t="s">
        <v>42</v>
      </c>
      <c r="I114" s="103"/>
      <c r="J114" s="6"/>
      <c r="K114" s="361" t="s">
        <v>565</v>
      </c>
      <c r="L114" s="5"/>
      <c r="M114" s="100">
        <v>330416</v>
      </c>
      <c r="N114" s="100"/>
      <c r="O114" s="88"/>
      <c r="P114" s="100"/>
      <c r="Q114" s="100"/>
      <c r="R114" s="100">
        <f>SUM(M114:Q114)</f>
        <v>330416</v>
      </c>
      <c r="S114" s="320">
        <v>469866</v>
      </c>
      <c r="T114" s="320"/>
      <c r="U114" s="23"/>
      <c r="V114" s="320"/>
      <c r="W114" s="320"/>
      <c r="X114" s="320">
        <f>SUM(S114:W114)</f>
        <v>469866</v>
      </c>
      <c r="Y114" s="320">
        <v>861430</v>
      </c>
      <c r="Z114" s="320"/>
      <c r="AA114" s="23"/>
      <c r="AB114" s="320"/>
      <c r="AC114" s="320"/>
      <c r="AD114" s="320">
        <f>SUM(Y114:AC114)</f>
        <v>861430</v>
      </c>
      <c r="AE114" s="320">
        <v>947570</v>
      </c>
      <c r="AF114" s="320"/>
      <c r="AG114" s="23"/>
      <c r="AH114" s="320"/>
      <c r="AI114" s="320"/>
      <c r="AJ114" s="320">
        <f>SUM(AE114:AI114)</f>
        <v>947570</v>
      </c>
      <c r="AK114" s="88">
        <f t="shared" si="30"/>
        <v>2609282</v>
      </c>
      <c r="AL114" s="88">
        <f t="shared" si="30"/>
        <v>0</v>
      </c>
      <c r="AM114" s="88">
        <f t="shared" si="30"/>
        <v>0</v>
      </c>
      <c r="AN114" s="88">
        <f t="shared" si="30"/>
        <v>0</v>
      </c>
      <c r="AO114" s="88">
        <f t="shared" si="30"/>
        <v>0</v>
      </c>
      <c r="AP114" s="355">
        <f>SUM(AK114:AO114)</f>
        <v>2609282</v>
      </c>
      <c r="AQ114" s="23"/>
      <c r="AR114" s="23"/>
      <c r="AS114" s="23"/>
      <c r="AT114" s="23"/>
      <c r="AU114" s="23"/>
      <c r="AV114" s="23"/>
    </row>
    <row r="115" spans="1:48" s="79" customFormat="1" ht="25.5">
      <c r="A115" s="3" t="s">
        <v>573</v>
      </c>
      <c r="B115" s="23"/>
      <c r="C115" s="23"/>
      <c r="D115" s="4"/>
      <c r="E115" s="323"/>
      <c r="F115" s="321"/>
      <c r="G115" s="321"/>
      <c r="H115" s="321"/>
      <c r="I115" s="103"/>
      <c r="J115" s="6"/>
      <c r="K115" s="5"/>
      <c r="L115" s="5"/>
      <c r="M115" s="100"/>
      <c r="N115" s="100"/>
      <c r="O115" s="88"/>
      <c r="P115" s="100"/>
      <c r="Q115" s="100"/>
      <c r="R115" s="100">
        <f>SUM(M115:Q115)</f>
        <v>0</v>
      </c>
      <c r="S115" s="320"/>
      <c r="T115" s="320"/>
      <c r="U115" s="23"/>
      <c r="V115" s="320"/>
      <c r="W115" s="320"/>
      <c r="X115" s="320">
        <f>SUM(S115:W115)</f>
        <v>0</v>
      </c>
      <c r="Y115" s="320"/>
      <c r="Z115" s="320"/>
      <c r="AA115" s="23"/>
      <c r="AB115" s="320"/>
      <c r="AC115" s="320"/>
      <c r="AD115" s="320">
        <f>SUM(Y115:AC115)</f>
        <v>0</v>
      </c>
      <c r="AE115" s="320"/>
      <c r="AF115" s="320"/>
      <c r="AG115" s="23"/>
      <c r="AH115" s="320"/>
      <c r="AI115" s="320"/>
      <c r="AJ115" s="320">
        <f>SUM(AE115:AI115)</f>
        <v>0</v>
      </c>
      <c r="AK115" s="88">
        <f t="shared" si="30"/>
        <v>0</v>
      </c>
      <c r="AL115" s="88">
        <f t="shared" si="30"/>
        <v>0</v>
      </c>
      <c r="AM115" s="88">
        <f t="shared" si="30"/>
        <v>0</v>
      </c>
      <c r="AN115" s="88">
        <f t="shared" si="30"/>
        <v>0</v>
      </c>
      <c r="AO115" s="88">
        <f t="shared" si="30"/>
        <v>0</v>
      </c>
      <c r="AP115" s="355">
        <f>SUM(AK115:AO115)</f>
        <v>0</v>
      </c>
      <c r="AQ115" s="23"/>
      <c r="AR115" s="23"/>
      <c r="AS115" s="23"/>
      <c r="AT115" s="23"/>
      <c r="AU115" s="23"/>
      <c r="AV115" s="23"/>
    </row>
    <row r="116" spans="1:48" s="79" customFormat="1" ht="153">
      <c r="A116" s="2" t="s">
        <v>541</v>
      </c>
      <c r="B116" s="23"/>
      <c r="C116" s="23"/>
      <c r="D116" s="4" t="s">
        <v>150</v>
      </c>
      <c r="E116" s="10" t="s">
        <v>147</v>
      </c>
      <c r="F116" s="4" t="s">
        <v>18</v>
      </c>
      <c r="G116" s="4" t="s">
        <v>148</v>
      </c>
      <c r="H116" s="4" t="s">
        <v>149</v>
      </c>
      <c r="I116" s="103"/>
      <c r="J116" s="6"/>
      <c r="K116" s="379" t="s">
        <v>564</v>
      </c>
      <c r="L116" s="5"/>
      <c r="M116" s="100">
        <v>525000</v>
      </c>
      <c r="N116" s="100"/>
      <c r="O116" s="88"/>
      <c r="P116" s="100"/>
      <c r="Q116" s="100"/>
      <c r="R116" s="100">
        <f>SUM(M116:Q116)</f>
        <v>525000</v>
      </c>
      <c r="S116" s="320">
        <v>875000</v>
      </c>
      <c r="T116" s="320"/>
      <c r="U116" s="23"/>
      <c r="V116" s="320"/>
      <c r="W116" s="320"/>
      <c r="X116" s="320">
        <f>SUM(S116:W116)</f>
        <v>875000</v>
      </c>
      <c r="Y116" s="320">
        <v>1050000</v>
      </c>
      <c r="Z116" s="320"/>
      <c r="AA116" s="23"/>
      <c r="AB116" s="320"/>
      <c r="AC116" s="320"/>
      <c r="AD116" s="320">
        <f>SUM(Y116:AC116)</f>
        <v>1050000</v>
      </c>
      <c r="AE116" s="320">
        <v>1050000</v>
      </c>
      <c r="AF116" s="320"/>
      <c r="AG116" s="23"/>
      <c r="AH116" s="320"/>
      <c r="AI116" s="320"/>
      <c r="AJ116" s="320">
        <f>SUM(AE116:AI116)</f>
        <v>1050000</v>
      </c>
      <c r="AK116" s="88">
        <f t="shared" si="30"/>
        <v>3500000</v>
      </c>
      <c r="AL116" s="88">
        <f t="shared" si="30"/>
        <v>0</v>
      </c>
      <c r="AM116" s="88">
        <f t="shared" si="30"/>
        <v>0</v>
      </c>
      <c r="AN116" s="88">
        <f t="shared" si="30"/>
        <v>0</v>
      </c>
      <c r="AO116" s="88">
        <f t="shared" si="30"/>
        <v>0</v>
      </c>
      <c r="AP116" s="355">
        <f>SUM(AK116:AO116)</f>
        <v>3500000</v>
      </c>
      <c r="AQ116" s="23"/>
      <c r="AR116" s="23"/>
      <c r="AS116" s="23"/>
      <c r="AT116" s="23"/>
      <c r="AU116" s="23"/>
      <c r="AV116" s="23"/>
    </row>
    <row r="117" spans="1:48" s="79" customFormat="1">
      <c r="A117" s="329" t="s">
        <v>193</v>
      </c>
      <c r="B117" s="330"/>
      <c r="C117" s="330"/>
      <c r="D117" s="330"/>
      <c r="E117" s="330"/>
      <c r="F117" s="330"/>
      <c r="G117" s="330"/>
      <c r="H117" s="330"/>
      <c r="I117" s="330"/>
      <c r="J117" s="330"/>
      <c r="K117" s="330"/>
      <c r="L117" s="330"/>
      <c r="M117" s="331">
        <f>SUM(M100:M116)</f>
        <v>54578838</v>
      </c>
      <c r="N117" s="331">
        <f>SUM(N100:N116)</f>
        <v>0</v>
      </c>
      <c r="O117" s="331">
        <f>SUM(O100:O116)</f>
        <v>0</v>
      </c>
      <c r="P117" s="331">
        <f>SUM(P100:P116)</f>
        <v>353802</v>
      </c>
      <c r="Q117" s="331">
        <f>SUM(Q100:Q116)</f>
        <v>0</v>
      </c>
      <c r="R117" s="331">
        <f>SUM(M117:Q117)</f>
        <v>54932640</v>
      </c>
      <c r="S117" s="331">
        <f>SUM(S100:S116)</f>
        <v>60713144</v>
      </c>
      <c r="T117" s="331">
        <f>SUM(T100:T116)</f>
        <v>0</v>
      </c>
      <c r="U117" s="331">
        <f>SUM(U100:U116)</f>
        <v>0</v>
      </c>
      <c r="V117" s="331">
        <f>SUM(V100:V116)</f>
        <v>0</v>
      </c>
      <c r="W117" s="331">
        <f>SUM(W100:W116)</f>
        <v>0</v>
      </c>
      <c r="X117" s="371">
        <f>SUM(S117:W117)</f>
        <v>60713144</v>
      </c>
      <c r="Y117" s="331">
        <f>SUM(Y100:Y116)</f>
        <v>72415362</v>
      </c>
      <c r="Z117" s="331">
        <f>SUM(Z100:Z116)</f>
        <v>0</v>
      </c>
      <c r="AA117" s="331">
        <f>SUM(AA100:AA116)</f>
        <v>0</v>
      </c>
      <c r="AB117" s="331">
        <f>SUM(AB100:AB116)</f>
        <v>0</v>
      </c>
      <c r="AC117" s="331">
        <f>SUM(AC100:AC116)</f>
        <v>0</v>
      </c>
      <c r="AD117" s="371">
        <f>SUM(Y117:AC117)</f>
        <v>72415362</v>
      </c>
      <c r="AE117" s="331">
        <f>SUM(AE100:AE116)</f>
        <v>42737192</v>
      </c>
      <c r="AF117" s="331">
        <f>SUM(AF100:AF116)</f>
        <v>0</v>
      </c>
      <c r="AG117" s="331">
        <f>SUM(AG100:AG116)</f>
        <v>0</v>
      </c>
      <c r="AH117" s="331">
        <f>SUM(AH100:AH116)</f>
        <v>0</v>
      </c>
      <c r="AI117" s="331">
        <f>SUM(AI100:AI116)</f>
        <v>0</v>
      </c>
      <c r="AJ117" s="371">
        <f>SUM(AE117:AI117)</f>
        <v>42737192</v>
      </c>
      <c r="AK117" s="331">
        <f>SUM(AK100:AK116)</f>
        <v>230444536</v>
      </c>
      <c r="AL117" s="331">
        <f>SUM(AL100:AL116)</f>
        <v>0</v>
      </c>
      <c r="AM117" s="331">
        <f>SUM(AM100:AM116)</f>
        <v>0</v>
      </c>
      <c r="AN117" s="331">
        <f>SUM(AN100:AN116)</f>
        <v>353802</v>
      </c>
      <c r="AO117" s="331">
        <f>SUM(AO100:AO116)</f>
        <v>0</v>
      </c>
      <c r="AP117" s="357">
        <f>SUM(AK117:AO117)</f>
        <v>230798338</v>
      </c>
      <c r="AQ117" s="56"/>
      <c r="AR117" s="56"/>
      <c r="AS117" s="56"/>
      <c r="AT117" s="56"/>
      <c r="AU117" s="56"/>
      <c r="AV117" s="56"/>
    </row>
    <row r="118" spans="1:48" s="406" customFormat="1" ht="15.75">
      <c r="A118" s="332" t="s">
        <v>566</v>
      </c>
      <c r="B118" s="402"/>
      <c r="C118" s="402"/>
      <c r="D118" s="332"/>
      <c r="E118" s="332"/>
      <c r="F118" s="332"/>
      <c r="G118" s="403"/>
      <c r="H118" s="403"/>
      <c r="I118" s="403"/>
      <c r="J118" s="403"/>
      <c r="K118" s="403"/>
      <c r="L118" s="403"/>
      <c r="M118" s="404"/>
      <c r="N118" s="404"/>
      <c r="O118" s="404"/>
      <c r="P118" s="404"/>
      <c r="Q118" s="404"/>
      <c r="R118" s="404">
        <f>SUM(R40,R87,R97,R117)</f>
        <v>123388061.49999997</v>
      </c>
      <c r="S118" s="404"/>
      <c r="T118" s="404"/>
      <c r="U118" s="404"/>
      <c r="V118" s="404"/>
      <c r="W118" s="404"/>
      <c r="X118" s="404">
        <f>SUM(X40,X87,X97,X117)</f>
        <v>163350098.72381008</v>
      </c>
      <c r="Y118" s="404"/>
      <c r="Z118" s="404"/>
      <c r="AA118" s="404"/>
      <c r="AB118" s="404"/>
      <c r="AC118" s="404"/>
      <c r="AD118" s="404">
        <f>SUM(AD40,AD87,AD97,AD117)</f>
        <v>178958218.76893002</v>
      </c>
      <c r="AE118" s="404"/>
      <c r="AF118" s="404"/>
      <c r="AG118" s="404"/>
      <c r="AH118" s="404"/>
      <c r="AI118" s="404"/>
      <c r="AJ118" s="404">
        <f>SUM(AJ40,AJ87,AJ97,AJ117)</f>
        <v>149809882.78069818</v>
      </c>
      <c r="AK118" s="404"/>
      <c r="AL118" s="404"/>
      <c r="AM118" s="404"/>
      <c r="AN118" s="404"/>
      <c r="AO118" s="404"/>
      <c r="AP118" s="404">
        <f>SUM(AP40,AP87,AP97,AP117)</f>
        <v>696227631.77343822</v>
      </c>
      <c r="AQ118" s="405"/>
      <c r="AR118" s="405"/>
      <c r="AS118" s="405"/>
      <c r="AT118" s="405"/>
      <c r="AU118" s="405"/>
      <c r="AV118" s="405"/>
    </row>
    <row r="119" spans="1:48">
      <c r="A119" s="77"/>
      <c r="B119" s="78"/>
      <c r="C119" s="78"/>
      <c r="D119" s="79"/>
      <c r="E119" s="79"/>
      <c r="F119" s="79"/>
      <c r="G119" s="80"/>
      <c r="H119" s="80"/>
      <c r="I119" s="80"/>
      <c r="J119" s="80"/>
      <c r="K119" s="80"/>
      <c r="L119" s="80"/>
      <c r="M119" s="81"/>
      <c r="N119" s="81"/>
      <c r="O119" s="81"/>
      <c r="P119" s="81"/>
      <c r="Q119" s="81"/>
      <c r="R119" s="81"/>
      <c r="S119" s="81"/>
      <c r="T119" s="81"/>
      <c r="U119" s="81"/>
      <c r="V119" s="81"/>
      <c r="W119" s="81"/>
      <c r="X119" s="81"/>
      <c r="Y119" s="81"/>
      <c r="Z119" s="81"/>
      <c r="AA119" s="81"/>
      <c r="AB119" s="81"/>
      <c r="AC119" s="81"/>
      <c r="AD119" s="81"/>
      <c r="AE119" s="81"/>
      <c r="AF119" s="81"/>
      <c r="AG119" s="81"/>
      <c r="AH119" s="81"/>
      <c r="AI119" s="81"/>
      <c r="AJ119" s="81"/>
      <c r="AK119" s="81"/>
      <c r="AL119" s="81"/>
      <c r="AM119" s="81"/>
      <c r="AN119" s="81"/>
      <c r="AO119" s="81"/>
      <c r="AP119" s="81"/>
    </row>
    <row r="120" spans="1:48">
      <c r="A120" s="77"/>
      <c r="B120" s="78"/>
      <c r="C120" s="78"/>
      <c r="D120" s="79"/>
      <c r="E120" s="79"/>
      <c r="F120" s="79"/>
      <c r="G120" s="80"/>
      <c r="H120" s="80"/>
      <c r="I120" s="80"/>
      <c r="J120" s="80"/>
      <c r="K120" s="80"/>
      <c r="L120" s="80"/>
      <c r="M120" s="81"/>
      <c r="N120" s="81"/>
      <c r="O120" s="81"/>
      <c r="P120" s="81"/>
      <c r="Q120" s="81"/>
      <c r="R120" s="81"/>
      <c r="S120" s="81"/>
      <c r="T120" s="81"/>
      <c r="U120" s="81"/>
      <c r="V120" s="81"/>
      <c r="W120" s="81"/>
      <c r="X120" s="81"/>
      <c r="Y120" s="81"/>
      <c r="Z120" s="81"/>
      <c r="AA120" s="81"/>
      <c r="AB120" s="81"/>
      <c r="AC120" s="81"/>
      <c r="AD120" s="81"/>
      <c r="AE120" s="81"/>
      <c r="AF120" s="81"/>
      <c r="AG120" s="81"/>
      <c r="AH120" s="81"/>
      <c r="AI120" s="81"/>
      <c r="AJ120" s="81"/>
      <c r="AK120" s="81"/>
      <c r="AL120" s="81"/>
      <c r="AM120" s="81"/>
      <c r="AN120" s="81"/>
      <c r="AO120" s="81"/>
      <c r="AP120" s="81"/>
    </row>
    <row r="121" spans="1:48">
      <c r="A121" s="77"/>
      <c r="B121" s="78"/>
      <c r="C121" s="78"/>
      <c r="D121" s="79"/>
      <c r="E121" s="79"/>
      <c r="F121" s="79"/>
      <c r="G121" s="80"/>
      <c r="H121" s="80"/>
      <c r="I121" s="80"/>
      <c r="J121" s="80"/>
      <c r="K121" s="80"/>
      <c r="L121" s="80"/>
      <c r="M121" s="81"/>
      <c r="N121" s="81"/>
      <c r="O121" s="81"/>
      <c r="P121" s="81"/>
      <c r="Q121" s="81"/>
      <c r="R121" s="81"/>
      <c r="S121" s="81"/>
      <c r="T121" s="81"/>
      <c r="U121" s="81"/>
      <c r="V121" s="81"/>
      <c r="W121" s="81"/>
      <c r="X121" s="81"/>
      <c r="Y121" s="81"/>
      <c r="Z121" s="81"/>
      <c r="AA121" s="81"/>
      <c r="AB121" s="81"/>
      <c r="AC121" s="81"/>
      <c r="AD121" s="81"/>
      <c r="AE121" s="81"/>
      <c r="AF121" s="81"/>
      <c r="AG121" s="81"/>
      <c r="AH121" s="81"/>
      <c r="AI121" s="81"/>
      <c r="AJ121" s="81"/>
      <c r="AK121" s="81"/>
      <c r="AL121" s="81"/>
      <c r="AM121" s="81"/>
      <c r="AN121" s="81"/>
      <c r="AO121" s="81"/>
      <c r="AP121" s="81"/>
    </row>
    <row r="122" spans="1:48">
      <c r="A122" s="77"/>
      <c r="B122" s="78"/>
      <c r="C122" s="78"/>
      <c r="D122" s="79"/>
      <c r="E122" s="79"/>
      <c r="F122" s="79"/>
      <c r="G122" s="80"/>
      <c r="H122" s="80"/>
      <c r="I122" s="80"/>
      <c r="J122" s="80"/>
      <c r="K122" s="80"/>
      <c r="L122" s="80"/>
      <c r="M122" s="81"/>
      <c r="N122" s="81"/>
      <c r="O122" s="81"/>
      <c r="P122" s="81"/>
      <c r="Q122" s="81"/>
      <c r="R122" s="81"/>
      <c r="S122" s="81">
        <f>R100+R102+R103+R106+R107+R108</f>
        <v>52905856</v>
      </c>
      <c r="T122" s="81"/>
      <c r="U122" s="81"/>
      <c r="V122" s="81"/>
      <c r="W122" s="81"/>
      <c r="X122" s="81"/>
      <c r="Y122" s="81"/>
      <c r="Z122" s="81"/>
      <c r="AA122" s="81"/>
      <c r="AB122" s="81"/>
      <c r="AC122" s="81"/>
      <c r="AD122" s="81"/>
      <c r="AE122" s="81"/>
      <c r="AF122" s="81"/>
      <c r="AG122" s="81"/>
      <c r="AH122" s="81"/>
      <c r="AI122" s="81"/>
      <c r="AJ122" s="81"/>
      <c r="AK122" s="81"/>
      <c r="AL122" s="81"/>
      <c r="AM122" s="81"/>
      <c r="AN122" s="81"/>
      <c r="AO122" s="81"/>
      <c r="AP122" s="81"/>
    </row>
    <row r="123" spans="1:48">
      <c r="A123" s="77"/>
      <c r="B123" s="78"/>
      <c r="C123" s="78"/>
      <c r="D123" s="79"/>
      <c r="E123" s="79"/>
      <c r="F123" s="79"/>
      <c r="G123" s="80"/>
      <c r="H123" s="80"/>
      <c r="I123" s="80"/>
      <c r="J123" s="80"/>
      <c r="K123" s="80"/>
      <c r="L123" s="80"/>
      <c r="M123" s="81"/>
      <c r="N123" s="81"/>
      <c r="O123" s="81"/>
      <c r="P123" s="81"/>
      <c r="Q123" s="81"/>
      <c r="R123" s="81"/>
      <c r="S123" s="81">
        <f>R116+R114+R113</f>
        <v>1296904</v>
      </c>
      <c r="T123" s="81"/>
      <c r="U123" s="81"/>
      <c r="V123" s="81"/>
      <c r="W123" s="81"/>
      <c r="X123" s="81"/>
      <c r="Y123" s="81"/>
      <c r="Z123" s="81"/>
      <c r="AA123" s="81"/>
      <c r="AB123" s="81"/>
      <c r="AC123" s="81"/>
      <c r="AD123" s="81"/>
      <c r="AE123" s="81"/>
      <c r="AF123" s="81"/>
      <c r="AG123" s="81"/>
      <c r="AH123" s="81"/>
      <c r="AI123" s="81"/>
      <c r="AJ123" s="81"/>
      <c r="AK123" s="81"/>
      <c r="AL123" s="81"/>
      <c r="AM123" s="81"/>
      <c r="AN123" s="81"/>
      <c r="AO123" s="81"/>
      <c r="AP123" s="81"/>
    </row>
    <row r="124" spans="1:48">
      <c r="A124" s="40"/>
      <c r="B124" s="35"/>
      <c r="C124" s="35"/>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c r="AK124" s="47"/>
      <c r="AL124" s="47"/>
      <c r="AM124" s="47"/>
      <c r="AN124" s="47"/>
      <c r="AO124" s="47"/>
      <c r="AP124" s="47"/>
    </row>
    <row r="125" spans="1:48">
      <c r="A125" s="40"/>
      <c r="B125" s="35"/>
      <c r="C125" s="35"/>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row>
    <row r="126" spans="1:48">
      <c r="A126" s="40"/>
      <c r="B126" s="35"/>
      <c r="C126" s="35"/>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c r="AK126" s="47"/>
      <c r="AL126" s="47"/>
      <c r="AM126" s="47"/>
      <c r="AN126" s="47"/>
      <c r="AO126" s="47"/>
      <c r="AP126" s="47"/>
    </row>
    <row r="127" spans="1:48">
      <c r="B127" s="16" t="s">
        <v>5</v>
      </c>
    </row>
    <row r="128" spans="1:48">
      <c r="B128" s="504" t="s">
        <v>249</v>
      </c>
      <c r="C128" s="504"/>
      <c r="D128" s="504"/>
      <c r="E128" s="504"/>
      <c r="F128" s="504"/>
      <c r="G128" s="504"/>
      <c r="H128" s="504"/>
      <c r="I128" s="504"/>
      <c r="J128" s="504"/>
      <c r="K128" s="504"/>
      <c r="L128" s="504"/>
      <c r="X128" s="42"/>
    </row>
    <row r="129" spans="2:21">
      <c r="B129" s="500" t="s">
        <v>250</v>
      </c>
      <c r="C129" s="500"/>
      <c r="D129" s="500"/>
      <c r="E129" s="500"/>
      <c r="F129" s="500"/>
      <c r="G129" s="500"/>
      <c r="H129" s="500"/>
      <c r="I129" s="500"/>
      <c r="J129" s="500"/>
      <c r="K129" s="500"/>
      <c r="L129" s="500"/>
    </row>
    <row r="130" spans="2:21" ht="165.75">
      <c r="B130" s="16" t="s">
        <v>251</v>
      </c>
      <c r="C130" s="18"/>
      <c r="D130" s="73"/>
      <c r="E130" s="73"/>
      <c r="F130" s="73"/>
      <c r="G130" s="73"/>
      <c r="H130" s="73"/>
      <c r="I130" s="73"/>
      <c r="J130" s="73"/>
      <c r="K130" s="73"/>
      <c r="L130" s="73"/>
    </row>
    <row r="131" spans="2:21">
      <c r="B131" s="501" t="s">
        <v>252</v>
      </c>
      <c r="C131" s="501"/>
      <c r="D131" s="501"/>
      <c r="E131" s="501"/>
      <c r="F131" s="501"/>
      <c r="G131" s="501"/>
      <c r="H131" s="501"/>
      <c r="I131" s="501"/>
      <c r="J131" s="501"/>
      <c r="K131" s="501"/>
      <c r="L131" s="501"/>
      <c r="M131" s="43"/>
      <c r="N131" s="43"/>
      <c r="O131" s="43"/>
      <c r="P131" s="43"/>
      <c r="Q131" s="43"/>
      <c r="R131" s="43"/>
      <c r="S131" s="43"/>
      <c r="T131" s="43"/>
      <c r="U131" s="43"/>
    </row>
    <row r="132" spans="2:21">
      <c r="B132" s="500" t="s">
        <v>253</v>
      </c>
      <c r="C132" s="500"/>
      <c r="D132" s="500"/>
      <c r="E132" s="500"/>
      <c r="F132" s="500"/>
      <c r="G132" s="500"/>
      <c r="H132" s="500"/>
      <c r="I132" s="500"/>
      <c r="J132" s="500"/>
      <c r="K132" s="500"/>
      <c r="L132" s="500"/>
    </row>
    <row r="133" spans="2:21" ht="178.5">
      <c r="B133" s="18" t="s">
        <v>254</v>
      </c>
      <c r="C133" s="18"/>
      <c r="D133" s="73"/>
      <c r="E133" s="73"/>
      <c r="F133" s="73"/>
      <c r="G133" s="73"/>
      <c r="H133" s="73"/>
      <c r="I133" s="73"/>
      <c r="J133" s="73"/>
      <c r="K133" s="73"/>
      <c r="L133" s="73"/>
    </row>
    <row r="134" spans="2:21" ht="114.75">
      <c r="B134" s="16" t="s">
        <v>255</v>
      </c>
      <c r="L134" s="33"/>
    </row>
  </sheetData>
  <mergeCells count="22">
    <mergeCell ref="A1:A3"/>
    <mergeCell ref="D1:D3"/>
    <mergeCell ref="E1:E3"/>
    <mergeCell ref="F1:G1"/>
    <mergeCell ref="AQ2:AV2"/>
    <mergeCell ref="AK2:AP2"/>
    <mergeCell ref="AE2:AJ2"/>
    <mergeCell ref="M2:R2"/>
    <mergeCell ref="S2:X2"/>
    <mergeCell ref="B131:L131"/>
    <mergeCell ref="B128:L128"/>
    <mergeCell ref="I1:I3"/>
    <mergeCell ref="M1:AP1"/>
    <mergeCell ref="B132:L132"/>
    <mergeCell ref="L1:L3"/>
    <mergeCell ref="Y2:AD2"/>
    <mergeCell ref="B129:L129"/>
    <mergeCell ref="J1:J3"/>
    <mergeCell ref="K1:K3"/>
    <mergeCell ref="H1:H3"/>
    <mergeCell ref="F2:F3"/>
    <mergeCell ref="G2:G3"/>
  </mergeCells>
  <pageMargins left="0.7" right="0.7" top="0.75" bottom="0.75" header="0.3" footer="0.3"/>
  <pageSetup paperSize="9"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dimension ref="A2:N24"/>
  <sheetViews>
    <sheetView workbookViewId="0">
      <pane xSplit="1" topLeftCell="B1" activePane="topRight" state="frozen"/>
      <selection pane="topRight" activeCell="G23" sqref="G23"/>
    </sheetView>
  </sheetViews>
  <sheetFormatPr defaultRowHeight="15"/>
  <cols>
    <col min="1" max="1" width="28.28515625" customWidth="1"/>
    <col min="2" max="5" width="11" customWidth="1"/>
    <col min="6" max="6" width="17.28515625" customWidth="1"/>
    <col min="7" max="7" width="17.140625" customWidth="1"/>
    <col min="8" max="11" width="11.28515625" customWidth="1"/>
    <col min="12" max="12" width="18.28515625" customWidth="1"/>
  </cols>
  <sheetData>
    <row r="2" spans="1:14" ht="47.25" customHeight="1">
      <c r="A2" s="139" t="s">
        <v>353</v>
      </c>
      <c r="B2" s="537" t="s">
        <v>588</v>
      </c>
      <c r="C2" s="537"/>
      <c r="D2" s="537"/>
      <c r="E2" s="537"/>
      <c r="F2" s="537"/>
      <c r="G2" s="139" t="s">
        <v>330</v>
      </c>
      <c r="H2" s="434"/>
      <c r="I2" s="538" t="s">
        <v>354</v>
      </c>
      <c r="J2" s="538"/>
      <c r="K2" s="538"/>
      <c r="L2" s="538"/>
    </row>
    <row r="3" spans="1:14" ht="15.75">
      <c r="A3" s="139"/>
      <c r="B3" s="139">
        <v>2013</v>
      </c>
      <c r="C3" s="139">
        <v>2014</v>
      </c>
      <c r="D3" s="139">
        <v>2015</v>
      </c>
      <c r="E3" s="139">
        <v>2016</v>
      </c>
      <c r="F3" s="139" t="s">
        <v>28</v>
      </c>
      <c r="G3" s="139"/>
      <c r="H3" s="434">
        <v>2013</v>
      </c>
      <c r="I3" s="434">
        <v>2014</v>
      </c>
      <c r="J3" s="434">
        <v>2015</v>
      </c>
      <c r="K3" s="434">
        <v>2016</v>
      </c>
      <c r="L3" s="434" t="s">
        <v>28</v>
      </c>
    </row>
    <row r="4" spans="1:14" ht="15.75">
      <c r="A4" s="224" t="s">
        <v>438</v>
      </c>
      <c r="B4" s="224"/>
      <c r="C4" s="224"/>
      <c r="D4" s="224"/>
      <c r="E4" s="224"/>
      <c r="F4" s="223"/>
      <c r="G4" s="223"/>
      <c r="H4" s="223"/>
      <c r="I4" s="223"/>
      <c r="J4" s="223"/>
      <c r="K4" s="223"/>
      <c r="L4" s="223"/>
    </row>
    <row r="5" spans="1:14" ht="47.25">
      <c r="A5" s="216" t="s">
        <v>439</v>
      </c>
      <c r="B5" s="431">
        <v>28592</v>
      </c>
      <c r="C5" s="431">
        <v>9645</v>
      </c>
      <c r="D5" s="431">
        <v>13630</v>
      </c>
      <c r="E5" s="431">
        <v>13630</v>
      </c>
      <c r="F5" s="432">
        <f t="shared" ref="F5:F10" si="0">SUM(B5:E5)</f>
        <v>65497</v>
      </c>
      <c r="G5" s="217" t="s">
        <v>74</v>
      </c>
      <c r="H5" s="217">
        <v>7246</v>
      </c>
      <c r="I5" s="217">
        <v>5494</v>
      </c>
      <c r="J5" s="217">
        <v>5494</v>
      </c>
      <c r="K5" s="217">
        <v>5494</v>
      </c>
      <c r="L5" s="219">
        <v>23728</v>
      </c>
      <c r="M5">
        <f t="shared" ref="M5:M10" si="1">SUM(H5:K5)</f>
        <v>23728</v>
      </c>
    </row>
    <row r="6" spans="1:14" ht="15.75">
      <c r="A6" s="220" t="s">
        <v>440</v>
      </c>
      <c r="B6" s="433">
        <v>25221</v>
      </c>
      <c r="C6" s="433">
        <v>16508</v>
      </c>
      <c r="D6" s="433">
        <v>22875</v>
      </c>
      <c r="E6" s="433">
        <v>31144</v>
      </c>
      <c r="F6" s="432">
        <f t="shared" si="0"/>
        <v>95748</v>
      </c>
      <c r="G6" s="221" t="s">
        <v>18</v>
      </c>
      <c r="H6" s="221">
        <v>5453</v>
      </c>
      <c r="I6" s="221"/>
      <c r="J6" s="221">
        <v>5610</v>
      </c>
      <c r="K6" s="221">
        <v>5673</v>
      </c>
      <c r="L6" s="222">
        <v>16736</v>
      </c>
      <c r="M6">
        <f t="shared" si="1"/>
        <v>16736</v>
      </c>
    </row>
    <row r="7" spans="1:14" ht="31.5">
      <c r="A7" s="216" t="s">
        <v>589</v>
      </c>
      <c r="B7" s="431">
        <v>5135</v>
      </c>
      <c r="C7" s="431">
        <v>15821</v>
      </c>
      <c r="D7" s="431">
        <v>5000</v>
      </c>
      <c r="E7" s="431">
        <v>5000</v>
      </c>
      <c r="F7" s="432">
        <f t="shared" si="0"/>
        <v>30956</v>
      </c>
      <c r="G7" s="217" t="s">
        <v>18</v>
      </c>
      <c r="H7" s="217">
        <v>626</v>
      </c>
      <c r="I7" s="217"/>
      <c r="J7" s="217">
        <v>1450</v>
      </c>
      <c r="K7" s="217">
        <v>1450</v>
      </c>
      <c r="L7" s="219">
        <v>3526</v>
      </c>
      <c r="M7">
        <f t="shared" si="1"/>
        <v>3526</v>
      </c>
      <c r="N7" s="218"/>
    </row>
    <row r="8" spans="1:14" ht="31.5">
      <c r="A8" s="220" t="s">
        <v>441</v>
      </c>
      <c r="B8" s="433">
        <v>2511</v>
      </c>
      <c r="C8" s="433">
        <v>1187</v>
      </c>
      <c r="D8" s="433">
        <v>2250</v>
      </c>
      <c r="E8" s="433">
        <v>3000</v>
      </c>
      <c r="F8" s="432">
        <f t="shared" si="0"/>
        <v>8948</v>
      </c>
      <c r="G8" s="221" t="s">
        <v>18</v>
      </c>
      <c r="H8" s="221">
        <v>40</v>
      </c>
      <c r="I8" s="221"/>
      <c r="J8" s="221">
        <v>135</v>
      </c>
      <c r="K8" s="221">
        <v>135</v>
      </c>
      <c r="L8" s="222">
        <v>310</v>
      </c>
      <c r="M8">
        <f t="shared" si="1"/>
        <v>310</v>
      </c>
    </row>
    <row r="9" spans="1:14" ht="15.75">
      <c r="A9" s="216" t="s">
        <v>442</v>
      </c>
      <c r="B9" s="431">
        <v>23668</v>
      </c>
      <c r="C9" s="431">
        <v>20000</v>
      </c>
      <c r="D9" s="431">
        <v>20000</v>
      </c>
      <c r="E9" s="431">
        <v>4502</v>
      </c>
      <c r="F9" s="432">
        <f t="shared" si="0"/>
        <v>68170</v>
      </c>
      <c r="G9" s="217" t="s">
        <v>18</v>
      </c>
      <c r="H9" s="217"/>
      <c r="I9" s="217">
        <v>5458</v>
      </c>
      <c r="J9" s="217">
        <v>5458</v>
      </c>
      <c r="K9" s="217">
        <v>1229</v>
      </c>
      <c r="L9" s="219">
        <v>12145</v>
      </c>
      <c r="M9">
        <f t="shared" si="1"/>
        <v>12145</v>
      </c>
    </row>
    <row r="10" spans="1:14" ht="31.5">
      <c r="A10" s="220" t="s">
        <v>590</v>
      </c>
      <c r="B10" s="433">
        <v>18400</v>
      </c>
      <c r="C10" s="433">
        <v>22600</v>
      </c>
      <c r="D10" s="433">
        <v>27600</v>
      </c>
      <c r="E10" s="433">
        <v>32600</v>
      </c>
      <c r="F10" s="432">
        <f t="shared" si="0"/>
        <v>101200</v>
      </c>
      <c r="G10" s="221" t="s">
        <v>18</v>
      </c>
      <c r="H10" s="221">
        <v>1670</v>
      </c>
      <c r="I10" s="221">
        <v>5490</v>
      </c>
      <c r="J10" s="221">
        <v>5130</v>
      </c>
      <c r="K10" s="221">
        <v>5640</v>
      </c>
      <c r="L10" s="226">
        <v>17930</v>
      </c>
      <c r="M10">
        <f t="shared" si="1"/>
        <v>17930</v>
      </c>
    </row>
    <row r="11" spans="1:14">
      <c r="B11" s="218">
        <f>SUM(B5:B10)</f>
        <v>103527</v>
      </c>
      <c r="C11" s="218">
        <f>SUM(C5:C10)</f>
        <v>85761</v>
      </c>
      <c r="D11" s="218">
        <f>SUM(D5:D10)</f>
        <v>91355</v>
      </c>
      <c r="E11" s="218">
        <f>SUM(E5:E10)</f>
        <v>89876</v>
      </c>
      <c r="F11" s="218">
        <f>SUM(F5:F10)</f>
        <v>370519</v>
      </c>
    </row>
    <row r="12" spans="1:14" ht="15.75">
      <c r="A12" s="225" t="s">
        <v>445</v>
      </c>
      <c r="B12" s="225"/>
      <c r="C12" s="225"/>
      <c r="D12" s="225"/>
      <c r="E12" s="225"/>
      <c r="L12" s="227">
        <f>SUM(L5:L10)</f>
        <v>74375</v>
      </c>
    </row>
    <row r="15" spans="1:14" ht="63">
      <c r="A15" s="216" t="s">
        <v>443</v>
      </c>
      <c r="B15" s="216"/>
      <c r="C15" s="216"/>
      <c r="D15" s="216"/>
      <c r="E15" s="216"/>
      <c r="F15" s="217" t="s">
        <v>444</v>
      </c>
      <c r="G15" s="217" t="s">
        <v>74</v>
      </c>
      <c r="H15" s="217"/>
      <c r="I15" s="217"/>
      <c r="J15" s="217"/>
      <c r="K15" s="217"/>
      <c r="L15" s="219">
        <v>1914</v>
      </c>
    </row>
    <row r="17" spans="1:12">
      <c r="H17" s="435">
        <v>2013</v>
      </c>
      <c r="I17" s="435">
        <v>2014</v>
      </c>
      <c r="J17" s="435">
        <v>2015</v>
      </c>
      <c r="K17" s="435">
        <v>2016</v>
      </c>
      <c r="L17" s="435" t="s">
        <v>28</v>
      </c>
    </row>
    <row r="18" spans="1:12">
      <c r="A18" t="s">
        <v>593</v>
      </c>
      <c r="B18" s="218">
        <f>B5</f>
        <v>28592</v>
      </c>
      <c r="C18" s="218">
        <f>C5</f>
        <v>9645</v>
      </c>
      <c r="D18" s="218">
        <f>D5</f>
        <v>13630</v>
      </c>
      <c r="E18" s="218">
        <f>E5</f>
        <v>13630</v>
      </c>
      <c r="F18" s="218">
        <f>F5</f>
        <v>65497</v>
      </c>
      <c r="H18" s="218">
        <f>H5</f>
        <v>7246</v>
      </c>
      <c r="I18" s="218">
        <f>I5</f>
        <v>5494</v>
      </c>
      <c r="J18" s="218">
        <f>J5</f>
        <v>5494</v>
      </c>
      <c r="K18" s="218">
        <f>K5</f>
        <v>5494</v>
      </c>
      <c r="L18" s="218">
        <f>L5</f>
        <v>23728</v>
      </c>
    </row>
    <row r="19" spans="1:12">
      <c r="A19" t="s">
        <v>591</v>
      </c>
      <c r="B19" s="218">
        <f>SUM(B6:B9)</f>
        <v>56535</v>
      </c>
      <c r="C19" s="218">
        <f>SUM(C6:C9)</f>
        <v>53516</v>
      </c>
      <c r="D19" s="218">
        <f>SUM(D6:D9)</f>
        <v>50125</v>
      </c>
      <c r="E19" s="218">
        <f>SUM(E6:E9)</f>
        <v>43646</v>
      </c>
      <c r="F19" s="218">
        <f>SUM(F6:F9)</f>
        <v>203822</v>
      </c>
      <c r="H19" s="218">
        <f>SUM(H6:H9)</f>
        <v>6119</v>
      </c>
      <c r="I19" s="218">
        <f>SUM(I6:I9)</f>
        <v>5458</v>
      </c>
      <c r="J19" s="218">
        <f>SUM(J6:J9)</f>
        <v>12653</v>
      </c>
      <c r="K19" s="218">
        <f>SUM(K6:K9)</f>
        <v>8487</v>
      </c>
      <c r="L19" s="218">
        <f>SUM(L6:L9)</f>
        <v>32717</v>
      </c>
    </row>
    <row r="20" spans="1:12">
      <c r="A20" t="s">
        <v>592</v>
      </c>
      <c r="B20" s="218">
        <f>B10</f>
        <v>18400</v>
      </c>
      <c r="C20" s="218">
        <f>C10</f>
        <v>22600</v>
      </c>
      <c r="D20" s="218">
        <f>D10</f>
        <v>27600</v>
      </c>
      <c r="E20" s="218">
        <f>E10</f>
        <v>32600</v>
      </c>
      <c r="F20" s="218">
        <f>F10</f>
        <v>101200</v>
      </c>
      <c r="H20" s="218">
        <f>H10</f>
        <v>1670</v>
      </c>
      <c r="I20" s="218">
        <f>I10</f>
        <v>5490</v>
      </c>
      <c r="J20" s="218">
        <f>J10</f>
        <v>5130</v>
      </c>
      <c r="K20" s="218">
        <f>K10</f>
        <v>5640</v>
      </c>
      <c r="L20" s="218">
        <f>L10</f>
        <v>17930</v>
      </c>
    </row>
    <row r="22" spans="1:12">
      <c r="A22" t="s">
        <v>594</v>
      </c>
      <c r="F22" s="218">
        <f>SUM(F18:F20)</f>
        <v>370519</v>
      </c>
      <c r="H22" s="218">
        <f>H19+H20</f>
        <v>7789</v>
      </c>
      <c r="I22" s="218">
        <f>I19+I20</f>
        <v>10948</v>
      </c>
      <c r="J22" s="218">
        <f>J19+J20</f>
        <v>17783</v>
      </c>
      <c r="K22" s="218">
        <f>K19+K20</f>
        <v>14127</v>
      </c>
      <c r="L22" s="218">
        <f>L19+L20</f>
        <v>50647</v>
      </c>
    </row>
    <row r="24" spans="1:12">
      <c r="K24" s="218">
        <f>SUM(H22:K22)</f>
        <v>50647</v>
      </c>
    </row>
  </sheetData>
  <mergeCells count="2">
    <mergeCell ref="B2:F2"/>
    <mergeCell ref="I2:L2"/>
  </mergeCells>
  <pageMargins left="0.7" right="0.7" top="0.75" bottom="0.75" header="0.3" footer="0.3"/>
  <pageSetup paperSize="9" scale="70" orientation="portrait" verticalDpi="0" r:id="rId1"/>
</worksheet>
</file>

<file path=xl/worksheets/sheet5.xml><?xml version="1.0" encoding="utf-8"?>
<worksheet xmlns="http://schemas.openxmlformats.org/spreadsheetml/2006/main" xmlns:r="http://schemas.openxmlformats.org/officeDocument/2006/relationships">
  <dimension ref="A1:H37"/>
  <sheetViews>
    <sheetView topLeftCell="A13" workbookViewId="0">
      <selection activeCell="D15" sqref="D15"/>
    </sheetView>
  </sheetViews>
  <sheetFormatPr defaultRowHeight="15"/>
  <cols>
    <col min="1" max="1" width="42.85546875" customWidth="1"/>
    <col min="2" max="2" width="27.140625" customWidth="1"/>
    <col min="3" max="3" width="16.5703125" customWidth="1"/>
    <col min="4" max="4" width="22.5703125" customWidth="1"/>
    <col min="5" max="5" width="13.42578125" bestFit="1" customWidth="1"/>
    <col min="6" max="6" width="10.5703125" bestFit="1" customWidth="1"/>
    <col min="7" max="7" width="11.7109375" bestFit="1" customWidth="1"/>
    <col min="8" max="8" width="16.85546875" bestFit="1" customWidth="1"/>
  </cols>
  <sheetData>
    <row r="1" spans="1:6">
      <c r="A1" s="137" t="s">
        <v>3</v>
      </c>
    </row>
    <row r="2" spans="1:6">
      <c r="A2" s="137" t="s">
        <v>449</v>
      </c>
      <c r="B2" t="s">
        <v>3</v>
      </c>
    </row>
    <row r="3" spans="1:6" ht="57" customHeight="1">
      <c r="A3" s="204" t="s">
        <v>351</v>
      </c>
      <c r="B3" s="204" t="s">
        <v>346</v>
      </c>
      <c r="C3" s="204" t="s">
        <v>348</v>
      </c>
      <c r="D3" s="205" t="s">
        <v>349</v>
      </c>
      <c r="E3" s="273">
        <v>1000</v>
      </c>
    </row>
    <row r="4" spans="1:6" ht="15.75">
      <c r="A4" s="206" t="s">
        <v>347</v>
      </c>
      <c r="B4" s="207"/>
      <c r="C4" s="208"/>
      <c r="D4" s="208"/>
    </row>
    <row r="5" spans="1:6" ht="15.75">
      <c r="A5" s="209" t="s">
        <v>502</v>
      </c>
      <c r="B5" s="210"/>
      <c r="C5" s="210"/>
      <c r="D5" s="210"/>
      <c r="E5" s="284">
        <f>D6</f>
        <v>118512.283</v>
      </c>
    </row>
    <row r="6" spans="1:6" ht="30.75" customHeight="1">
      <c r="A6" s="200" t="s">
        <v>339</v>
      </c>
      <c r="B6" s="211" t="str">
        <f>B29</f>
        <v>14.7 million families covered by insurance</v>
      </c>
      <c r="C6" s="208" t="s">
        <v>18</v>
      </c>
      <c r="D6" s="212">
        <f>'Annex B2-Non CIP'!AP12/E3</f>
        <v>118512.283</v>
      </c>
    </row>
    <row r="7" spans="1:6" ht="15.75">
      <c r="A7" s="206" t="s">
        <v>503</v>
      </c>
      <c r="B7" s="208"/>
      <c r="C7" s="208"/>
      <c r="D7" s="208"/>
      <c r="E7" s="284">
        <f>SUM(D8:D16)</f>
        <v>60765.960999999996</v>
      </c>
    </row>
    <row r="8" spans="1:6" ht="32.25" customHeight="1">
      <c r="A8" s="201" t="s">
        <v>340</v>
      </c>
      <c r="B8" s="214" t="s">
        <v>496</v>
      </c>
      <c r="C8" s="210" t="str">
        <f>C6</f>
        <v>Nationwide</v>
      </c>
      <c r="D8" s="213">
        <f>'Annex B2-Non CIP'!AP20/'DOH Summary PAPs'!E3</f>
        <v>16359.782999999999</v>
      </c>
    </row>
    <row r="9" spans="1:6" ht="20.25" customHeight="1">
      <c r="A9" s="200" t="s">
        <v>341</v>
      </c>
      <c r="B9" s="208" t="s">
        <v>499</v>
      </c>
      <c r="C9" s="208" t="str">
        <f t="shared" ref="C9:C14" si="0">C8</f>
        <v>Nationwide</v>
      </c>
      <c r="D9" s="212">
        <f>'Annex B2-Non CIP'!AP24/'DOH Summary PAPs'!E3</f>
        <v>4674.9040000000005</v>
      </c>
    </row>
    <row r="10" spans="1:6" ht="34.5" customHeight="1">
      <c r="A10" s="201" t="s">
        <v>494</v>
      </c>
      <c r="B10" s="214" t="s">
        <v>500</v>
      </c>
      <c r="C10" s="210" t="str">
        <f t="shared" si="0"/>
        <v>Nationwide</v>
      </c>
      <c r="D10" s="213">
        <f>'Annex B2-Non CIP'!AP26/'DOH Summary PAPs'!E3</f>
        <v>2201.951</v>
      </c>
    </row>
    <row r="11" spans="1:6" ht="54.75" customHeight="1">
      <c r="A11" s="200" t="s">
        <v>495</v>
      </c>
      <c r="B11" s="211" t="s">
        <v>501</v>
      </c>
      <c r="C11" s="208" t="str">
        <f t="shared" si="0"/>
        <v>Nationwide</v>
      </c>
      <c r="D11" s="212">
        <f>'Annex B2-Non CIP'!AP28/'DOH Summary PAPs'!E3</f>
        <v>2765.4430000000002</v>
      </c>
    </row>
    <row r="12" spans="1:6" ht="99" customHeight="1">
      <c r="A12" s="201" t="s">
        <v>342</v>
      </c>
      <c r="B12" s="214" t="s">
        <v>498</v>
      </c>
      <c r="C12" s="210" t="str">
        <f t="shared" si="0"/>
        <v>Nationwide</v>
      </c>
      <c r="D12" s="213">
        <f>'Annex B2-Non CIP'!AP30/'DOH Summary PAPs'!E3</f>
        <v>16355.42</v>
      </c>
    </row>
    <row r="13" spans="1:6" ht="15.75">
      <c r="A13" s="200" t="s">
        <v>343</v>
      </c>
      <c r="B13" s="208"/>
      <c r="C13" s="208" t="str">
        <f t="shared" si="0"/>
        <v>Nationwide</v>
      </c>
      <c r="D13" s="212">
        <f>'Annex B2-Non CIP'!AP32/'DOH Summary PAPs'!E3</f>
        <v>6029.5280000000002</v>
      </c>
    </row>
    <row r="14" spans="1:6" ht="48.75" customHeight="1">
      <c r="A14" s="201" t="s">
        <v>344</v>
      </c>
      <c r="B14" s="214" t="s">
        <v>506</v>
      </c>
      <c r="C14" s="210" t="str">
        <f t="shared" si="0"/>
        <v>Nationwide</v>
      </c>
      <c r="D14" s="213">
        <f>'Annex B2-Non CIP'!AP34/'DOH Summary PAPs'!E3</f>
        <v>10652.832</v>
      </c>
    </row>
    <row r="15" spans="1:6" ht="48.75" customHeight="1">
      <c r="A15" s="201" t="s">
        <v>530</v>
      </c>
      <c r="B15" s="214"/>
      <c r="C15" s="210" t="s">
        <v>18</v>
      </c>
      <c r="D15" s="213">
        <f>'Annex B2-Non CIP'!AP22/E3</f>
        <v>540</v>
      </c>
      <c r="F15" s="218"/>
    </row>
    <row r="16" spans="1:6" ht="27" customHeight="1">
      <c r="A16" s="200" t="s">
        <v>345</v>
      </c>
      <c r="B16" s="208"/>
      <c r="C16" s="208" t="str">
        <f>C14</f>
        <v>Nationwide</v>
      </c>
      <c r="D16" s="212">
        <f>'Annex B2-Non CIP'!AP36/'DOH Summary PAPs'!E3</f>
        <v>1186.0999999999999</v>
      </c>
    </row>
    <row r="17" spans="1:8" ht="15.75">
      <c r="A17" s="206" t="s">
        <v>504</v>
      </c>
      <c r="B17" s="208"/>
      <c r="C17" s="208"/>
      <c r="D17" s="208"/>
      <c r="E17" s="284">
        <f>D18+D19</f>
        <v>48579.576000000001</v>
      </c>
      <c r="H17" s="246">
        <f>30000000*41</f>
        <v>1230000000</v>
      </c>
    </row>
    <row r="18" spans="1:8" ht="15.75">
      <c r="A18" s="201" t="s">
        <v>455</v>
      </c>
      <c r="B18" s="214" t="s">
        <v>505</v>
      </c>
      <c r="C18" s="210" t="str">
        <f>C16</f>
        <v>Nationwide</v>
      </c>
      <c r="D18" s="213">
        <f>'Annex B2-Non CIP'!AP18/'DOH Summary PAPs'!E3</f>
        <v>47702.495000000003</v>
      </c>
    </row>
    <row r="19" spans="1:8" ht="22.5" customHeight="1">
      <c r="A19" s="202" t="s">
        <v>450</v>
      </c>
      <c r="B19" s="208"/>
      <c r="C19" s="208" t="str">
        <f>C18</f>
        <v>Nationwide</v>
      </c>
      <c r="D19" s="212">
        <f>'Annex B2-Non CIP'!AP38/'DOH Summary PAPs'!E3</f>
        <v>877.08100000000002</v>
      </c>
      <c r="H19">
        <v>1000</v>
      </c>
    </row>
    <row r="20" spans="1:8" ht="15.75">
      <c r="A20" s="204" t="s">
        <v>140</v>
      </c>
      <c r="B20" s="210"/>
      <c r="C20" s="210"/>
      <c r="D20" s="215">
        <f>SUM(D6:D19)</f>
        <v>227857.82</v>
      </c>
      <c r="E20" s="282">
        <f>D20-D31</f>
        <v>-30442.179999999993</v>
      </c>
      <c r="G20" s="339">
        <v>227317820</v>
      </c>
    </row>
    <row r="21" spans="1:8" ht="15.75">
      <c r="A21" s="203" t="s">
        <v>350</v>
      </c>
      <c r="B21" s="208"/>
      <c r="C21" s="208"/>
      <c r="D21" s="208"/>
      <c r="G21" s="285">
        <f>G20/H19</f>
        <v>227317.82</v>
      </c>
    </row>
    <row r="22" spans="1:8" ht="15.75">
      <c r="A22" s="252" t="s">
        <v>457</v>
      </c>
      <c r="B22" s="208"/>
      <c r="C22" s="208" t="s">
        <v>459</v>
      </c>
      <c r="D22" s="208"/>
      <c r="G22" s="285">
        <f>G21+D15</f>
        <v>227857.82</v>
      </c>
    </row>
    <row r="23" spans="1:8" ht="15.75">
      <c r="A23" s="253" t="s">
        <v>458</v>
      </c>
      <c r="C23" t="s">
        <v>460</v>
      </c>
    </row>
    <row r="25" spans="1:8">
      <c r="A25" t="s">
        <v>497</v>
      </c>
    </row>
    <row r="26" spans="1:8" ht="45">
      <c r="A26" s="274" t="s">
        <v>486</v>
      </c>
      <c r="B26" s="274" t="s">
        <v>493</v>
      </c>
      <c r="C26" s="274" t="s">
        <v>348</v>
      </c>
      <c r="D26" s="276" t="s">
        <v>491</v>
      </c>
      <c r="E26" s="274">
        <v>2014</v>
      </c>
      <c r="F26" s="274">
        <v>2015</v>
      </c>
      <c r="G26" s="274">
        <v>2016</v>
      </c>
    </row>
    <row r="27" spans="1:8" ht="45">
      <c r="A27" s="275" t="s">
        <v>485</v>
      </c>
      <c r="B27" s="276" t="s">
        <v>487</v>
      </c>
      <c r="C27" s="275" t="s">
        <v>18</v>
      </c>
      <c r="D27" s="279">
        <f>SUM(E27:G27)</f>
        <v>56600</v>
      </c>
      <c r="E27" s="279">
        <v>13600</v>
      </c>
      <c r="F27" s="279">
        <v>19800</v>
      </c>
      <c r="G27" s="279">
        <v>23200</v>
      </c>
    </row>
    <row r="28" spans="1:8" ht="150">
      <c r="A28" s="277" t="s">
        <v>489</v>
      </c>
      <c r="B28" s="277" t="s">
        <v>490</v>
      </c>
      <c r="C28" s="275" t="s">
        <v>18</v>
      </c>
      <c r="D28" s="279">
        <f>SUM(E28:G28)</f>
        <v>88100</v>
      </c>
      <c r="E28" s="279">
        <v>29100</v>
      </c>
      <c r="F28" s="279">
        <v>30900</v>
      </c>
      <c r="G28" s="279">
        <v>28100</v>
      </c>
    </row>
    <row r="29" spans="1:8" ht="30">
      <c r="A29" s="275" t="s">
        <v>483</v>
      </c>
      <c r="B29" s="277" t="s">
        <v>488</v>
      </c>
      <c r="C29" s="275" t="s">
        <v>18</v>
      </c>
      <c r="D29" s="279">
        <f>SUM(E29:G29)</f>
        <v>105900</v>
      </c>
      <c r="E29" s="279">
        <v>35300</v>
      </c>
      <c r="F29" s="279">
        <v>35300</v>
      </c>
      <c r="G29" s="279">
        <v>35300</v>
      </c>
    </row>
    <row r="30" spans="1:8">
      <c r="A30" s="275" t="s">
        <v>484</v>
      </c>
      <c r="B30" s="275" t="s">
        <v>492</v>
      </c>
      <c r="C30" s="275" t="s">
        <v>18</v>
      </c>
      <c r="D30" s="279">
        <f>SUM(E30:G30)</f>
        <v>7700</v>
      </c>
      <c r="E30" s="279">
        <v>2200</v>
      </c>
      <c r="F30" s="279">
        <v>2600</v>
      </c>
      <c r="G30" s="279">
        <v>2900</v>
      </c>
    </row>
    <row r="31" spans="1:8">
      <c r="C31" s="278"/>
      <c r="D31" s="280">
        <f>SUM(D27:D30)</f>
        <v>258300</v>
      </c>
      <c r="E31" s="281">
        <f>SUM(E27:E30)</f>
        <v>80200</v>
      </c>
      <c r="F31" s="281">
        <f>SUM(F27:F30)</f>
        <v>88600</v>
      </c>
      <c r="G31" s="281">
        <f>SUM(G27:G30)</f>
        <v>89500</v>
      </c>
    </row>
    <row r="33" spans="2:2">
      <c r="B33">
        <f>1464+2641+2416</f>
        <v>6521</v>
      </c>
    </row>
    <row r="34" spans="2:2">
      <c r="B34">
        <f>985+198+249</f>
        <v>1432</v>
      </c>
    </row>
    <row r="35" spans="2:2">
      <c r="B35">
        <f>364+215+60</f>
        <v>639</v>
      </c>
    </row>
    <row r="36" spans="2:2">
      <c r="B36">
        <f>60+48+66</f>
        <v>174</v>
      </c>
    </row>
    <row r="37" spans="2:2">
      <c r="B37">
        <f>SUM(B33:B36)</f>
        <v>8766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2:F42"/>
  <sheetViews>
    <sheetView workbookViewId="0">
      <selection activeCell="A5" sqref="A5"/>
    </sheetView>
  </sheetViews>
  <sheetFormatPr defaultColWidth="27.7109375" defaultRowHeight="15"/>
  <cols>
    <col min="1" max="16384" width="27.7109375" style="140"/>
  </cols>
  <sheetData>
    <row r="2" spans="1:5" ht="47.25">
      <c r="A2" s="139" t="s">
        <v>353</v>
      </c>
      <c r="B2" s="139" t="s">
        <v>329</v>
      </c>
      <c r="C2" s="139" t="s">
        <v>330</v>
      </c>
      <c r="D2" s="139" t="s">
        <v>354</v>
      </c>
      <c r="E2" s="139" t="s">
        <v>355</v>
      </c>
    </row>
    <row r="3" spans="1:5" ht="15.75">
      <c r="A3" s="539" t="s">
        <v>356</v>
      </c>
      <c r="B3" s="539"/>
      <c r="C3" s="539"/>
      <c r="D3" s="539"/>
      <c r="E3" s="539"/>
    </row>
    <row r="4" spans="1:5" ht="15.75">
      <c r="A4" s="141" t="s">
        <v>357</v>
      </c>
      <c r="B4" s="141"/>
      <c r="C4" s="141"/>
      <c r="D4" s="141"/>
      <c r="E4" s="141"/>
    </row>
    <row r="5" spans="1:5" ht="15.75">
      <c r="A5" s="283" t="s">
        <v>358</v>
      </c>
      <c r="B5" s="142"/>
      <c r="C5" s="142"/>
      <c r="D5" s="142"/>
      <c r="E5" s="142"/>
    </row>
    <row r="6" spans="1:5" ht="31.5">
      <c r="A6" s="143" t="s">
        <v>359</v>
      </c>
      <c r="B6" s="143" t="s">
        <v>360</v>
      </c>
      <c r="C6" s="144" t="s">
        <v>361</v>
      </c>
      <c r="D6" s="145">
        <v>40412</v>
      </c>
      <c r="E6" s="143"/>
    </row>
    <row r="7" spans="1:5" ht="31.5">
      <c r="A7" s="146" t="s">
        <v>362</v>
      </c>
      <c r="B7" s="142"/>
      <c r="C7" s="147"/>
      <c r="D7" s="148"/>
      <c r="E7" s="142"/>
    </row>
    <row r="8" spans="1:5" ht="15.75">
      <c r="A8" s="143" t="s">
        <v>363</v>
      </c>
      <c r="B8" s="143" t="s">
        <v>364</v>
      </c>
      <c r="C8" s="144" t="s">
        <v>361</v>
      </c>
      <c r="D8" s="145">
        <v>110165</v>
      </c>
      <c r="E8" s="143"/>
    </row>
    <row r="9" spans="1:5" ht="31.5">
      <c r="A9" s="149" t="s">
        <v>408</v>
      </c>
      <c r="B9" s="149" t="s">
        <v>366</v>
      </c>
      <c r="C9" s="150" t="s">
        <v>361</v>
      </c>
      <c r="D9" s="148">
        <v>4000</v>
      </c>
      <c r="E9" s="142"/>
    </row>
    <row r="10" spans="1:5" ht="31.5">
      <c r="A10" s="152" t="s">
        <v>409</v>
      </c>
      <c r="B10" s="153"/>
      <c r="C10" s="154" t="s">
        <v>361</v>
      </c>
      <c r="D10" s="145">
        <v>2594</v>
      </c>
      <c r="E10" s="143"/>
    </row>
    <row r="11" spans="1:5" ht="47.25">
      <c r="A11" s="149" t="s">
        <v>410</v>
      </c>
      <c r="B11" s="149" t="s">
        <v>367</v>
      </c>
      <c r="C11" s="150" t="s">
        <v>365</v>
      </c>
      <c r="D11" s="148">
        <v>1000</v>
      </c>
      <c r="E11" s="142"/>
    </row>
    <row r="12" spans="1:5" ht="47.25">
      <c r="A12" s="152" t="s">
        <v>368</v>
      </c>
      <c r="B12" s="152" t="s">
        <v>369</v>
      </c>
      <c r="C12" s="154" t="s">
        <v>361</v>
      </c>
      <c r="D12" s="145">
        <v>3193</v>
      </c>
      <c r="E12" s="143"/>
    </row>
    <row r="13" spans="1:5" ht="63">
      <c r="A13" s="149" t="s">
        <v>370</v>
      </c>
      <c r="B13" s="149" t="s">
        <v>371</v>
      </c>
      <c r="C13" s="150" t="s">
        <v>361</v>
      </c>
      <c r="D13" s="151">
        <v>8699</v>
      </c>
      <c r="E13" s="151"/>
    </row>
    <row r="14" spans="1:5" ht="47.25">
      <c r="A14" s="152" t="s">
        <v>372</v>
      </c>
      <c r="B14" s="152" t="s">
        <v>373</v>
      </c>
      <c r="C14" s="154" t="s">
        <v>361</v>
      </c>
      <c r="D14" s="145">
        <v>18927</v>
      </c>
      <c r="E14" s="143"/>
    </row>
    <row r="15" spans="1:5" ht="47.25">
      <c r="A15" s="149" t="s">
        <v>374</v>
      </c>
      <c r="B15" s="149" t="s">
        <v>375</v>
      </c>
      <c r="C15" s="150" t="s">
        <v>361</v>
      </c>
      <c r="D15" s="151">
        <v>3317</v>
      </c>
      <c r="E15" s="151"/>
    </row>
    <row r="16" spans="1:5" ht="31.5">
      <c r="A16" s="152" t="s">
        <v>376</v>
      </c>
      <c r="B16" s="152" t="s">
        <v>377</v>
      </c>
      <c r="C16" s="154" t="s">
        <v>361</v>
      </c>
      <c r="D16" s="145">
        <v>4122</v>
      </c>
      <c r="E16" s="143"/>
    </row>
    <row r="17" spans="1:6" ht="31.5">
      <c r="A17" s="149" t="s">
        <v>378</v>
      </c>
      <c r="B17" s="149" t="s">
        <v>379</v>
      </c>
      <c r="C17" s="150" t="s">
        <v>361</v>
      </c>
      <c r="D17" s="151">
        <v>5046</v>
      </c>
      <c r="E17" s="151"/>
    </row>
    <row r="18" spans="1:6" ht="31.5">
      <c r="A18" s="152" t="s">
        <v>380</v>
      </c>
      <c r="B18" s="153"/>
      <c r="C18" s="154" t="s">
        <v>361</v>
      </c>
      <c r="D18" s="145">
        <v>2616</v>
      </c>
      <c r="E18" s="143"/>
    </row>
    <row r="19" spans="1:6" ht="47.25">
      <c r="A19" s="149" t="s">
        <v>381</v>
      </c>
      <c r="B19" s="149"/>
      <c r="C19" s="150" t="s">
        <v>361</v>
      </c>
      <c r="D19" s="151">
        <v>1291</v>
      </c>
      <c r="E19" s="151"/>
    </row>
    <row r="20" spans="1:6" ht="15.75">
      <c r="A20" s="152" t="s">
        <v>382</v>
      </c>
      <c r="B20" s="152" t="s">
        <v>331</v>
      </c>
      <c r="C20" s="154" t="s">
        <v>361</v>
      </c>
      <c r="D20" s="145">
        <v>5339</v>
      </c>
      <c r="E20" s="143"/>
    </row>
    <row r="21" spans="1:6" ht="47.25">
      <c r="A21" s="149" t="s">
        <v>383</v>
      </c>
      <c r="B21" s="149" t="s">
        <v>384</v>
      </c>
      <c r="C21" s="150" t="s">
        <v>361</v>
      </c>
      <c r="D21" s="151">
        <v>3659</v>
      </c>
      <c r="E21" s="151"/>
    </row>
    <row r="22" spans="1:6" ht="47.25">
      <c r="A22" s="152" t="s">
        <v>385</v>
      </c>
      <c r="B22" s="152" t="s">
        <v>386</v>
      </c>
      <c r="C22" s="154" t="s">
        <v>361</v>
      </c>
      <c r="D22" s="145">
        <v>5682</v>
      </c>
      <c r="E22" s="143"/>
    </row>
    <row r="23" spans="1:6" ht="173.25">
      <c r="A23" s="149" t="s">
        <v>387</v>
      </c>
      <c r="B23" s="149" t="s">
        <v>411</v>
      </c>
      <c r="C23" s="150" t="s">
        <v>388</v>
      </c>
      <c r="D23" s="151">
        <v>4700.3397000000004</v>
      </c>
      <c r="E23" s="151">
        <v>4699.2791999999999</v>
      </c>
    </row>
    <row r="24" spans="1:6" ht="409.5">
      <c r="A24" s="152" t="s">
        <v>389</v>
      </c>
      <c r="B24" s="156" t="s">
        <v>412</v>
      </c>
      <c r="C24" s="154" t="s">
        <v>390</v>
      </c>
      <c r="D24" s="145">
        <v>2618</v>
      </c>
      <c r="E24" s="143">
        <v>654.5</v>
      </c>
    </row>
    <row r="25" spans="1:6" ht="47.25">
      <c r="A25" s="160" t="s">
        <v>413</v>
      </c>
      <c r="B25" s="149"/>
      <c r="C25" s="150"/>
      <c r="D25" s="148">
        <v>0</v>
      </c>
      <c r="E25" s="142"/>
    </row>
    <row r="26" spans="1:6" ht="47.25">
      <c r="A26" s="152" t="s">
        <v>391</v>
      </c>
      <c r="B26" s="152" t="s">
        <v>392</v>
      </c>
      <c r="C26" s="154" t="s">
        <v>361</v>
      </c>
      <c r="D26" s="145">
        <v>30220</v>
      </c>
      <c r="E26" s="154"/>
    </row>
    <row r="27" spans="1:6" ht="15.75">
      <c r="A27" s="160" t="s">
        <v>393</v>
      </c>
      <c r="B27" s="160"/>
      <c r="C27" s="160"/>
      <c r="D27" s="161">
        <f>SUM(D6:D26)</f>
        <v>257600.33970000001</v>
      </c>
      <c r="E27" s="161">
        <f>SUM(E6:E26)</f>
        <v>5353.7791999999999</v>
      </c>
      <c r="F27" s="162">
        <f>D27/D41*100</f>
        <v>89.829037005918138</v>
      </c>
    </row>
    <row r="28" spans="1:6" ht="15.75">
      <c r="A28" s="159" t="s">
        <v>73</v>
      </c>
      <c r="B28" s="153"/>
      <c r="C28" s="153"/>
      <c r="D28" s="153"/>
      <c r="E28" s="153"/>
      <c r="F28" s="162"/>
    </row>
    <row r="29" spans="1:6" ht="47.25">
      <c r="A29" s="160" t="s">
        <v>394</v>
      </c>
      <c r="B29" s="160"/>
      <c r="C29" s="160"/>
      <c r="D29" s="149"/>
      <c r="E29" s="149"/>
      <c r="F29" s="162"/>
    </row>
    <row r="30" spans="1:6" ht="31.5">
      <c r="A30" s="152" t="s">
        <v>395</v>
      </c>
      <c r="B30" s="153"/>
      <c r="C30" s="154" t="s">
        <v>361</v>
      </c>
      <c r="D30" s="155">
        <v>5000</v>
      </c>
      <c r="E30" s="153"/>
      <c r="F30" s="162"/>
    </row>
    <row r="31" spans="1:6" ht="15.75">
      <c r="A31" s="160" t="s">
        <v>396</v>
      </c>
      <c r="B31" s="160"/>
      <c r="C31" s="150"/>
      <c r="D31" s="149"/>
      <c r="E31" s="149"/>
      <c r="F31" s="162"/>
    </row>
    <row r="32" spans="1:6" ht="31.5">
      <c r="A32" s="152" t="s">
        <v>397</v>
      </c>
      <c r="B32" s="153"/>
      <c r="C32" s="154" t="s">
        <v>361</v>
      </c>
      <c r="D32" s="155">
        <v>9100</v>
      </c>
      <c r="E32" s="153"/>
      <c r="F32" s="162"/>
    </row>
    <row r="33" spans="1:6" ht="15.75">
      <c r="A33" s="160" t="s">
        <v>393</v>
      </c>
      <c r="B33" s="158"/>
      <c r="C33" s="158"/>
      <c r="D33" s="161">
        <v>14100</v>
      </c>
      <c r="E33" s="160"/>
      <c r="F33" s="247">
        <f>D33/D41*100</f>
        <v>4.9168779173913713</v>
      </c>
    </row>
    <row r="34" spans="1:6" ht="15.75">
      <c r="A34" s="159" t="s">
        <v>60</v>
      </c>
      <c r="B34" s="153"/>
      <c r="C34" s="153"/>
      <c r="D34" s="153"/>
      <c r="E34" s="153"/>
      <c r="F34" s="162"/>
    </row>
    <row r="35" spans="1:6" ht="31.5">
      <c r="A35" s="160" t="s">
        <v>398</v>
      </c>
      <c r="B35" s="160"/>
      <c r="C35" s="150"/>
      <c r="D35" s="149"/>
      <c r="E35" s="149"/>
      <c r="F35" s="162"/>
    </row>
    <row r="36" spans="1:6" ht="94.5">
      <c r="A36" s="152" t="s">
        <v>399</v>
      </c>
      <c r="B36" s="152" t="s">
        <v>415</v>
      </c>
      <c r="C36" s="154" t="s">
        <v>361</v>
      </c>
      <c r="D36" s="155">
        <v>5793</v>
      </c>
      <c r="E36" s="153"/>
      <c r="F36" s="162"/>
    </row>
    <row r="37" spans="1:6" ht="31.5">
      <c r="A37" s="149" t="s">
        <v>400</v>
      </c>
      <c r="B37" s="149" t="s">
        <v>401</v>
      </c>
      <c r="C37" s="150" t="s">
        <v>402</v>
      </c>
      <c r="D37" s="151">
        <v>1847</v>
      </c>
      <c r="E37" s="149"/>
      <c r="F37" s="162"/>
    </row>
    <row r="38" spans="1:6" ht="47.25">
      <c r="A38" s="156" t="s">
        <v>403</v>
      </c>
      <c r="B38" s="153"/>
      <c r="C38" s="153"/>
      <c r="D38" s="153"/>
      <c r="E38" s="153"/>
      <c r="F38" s="162"/>
    </row>
    <row r="39" spans="1:6" ht="94.5">
      <c r="A39" s="149" t="s">
        <v>404</v>
      </c>
      <c r="B39" s="149" t="s">
        <v>414</v>
      </c>
      <c r="C39" s="150" t="s">
        <v>405</v>
      </c>
      <c r="D39" s="151">
        <v>7427</v>
      </c>
      <c r="E39" s="151"/>
      <c r="F39" s="162"/>
    </row>
    <row r="40" spans="1:6" ht="15.75">
      <c r="A40" s="156" t="s">
        <v>406</v>
      </c>
      <c r="B40" s="153"/>
      <c r="C40" s="153"/>
      <c r="D40" s="157">
        <v>15067</v>
      </c>
      <c r="E40" s="153"/>
      <c r="F40" s="247">
        <f>D40/D41*100</f>
        <v>5.2540850766904814</v>
      </c>
    </row>
    <row r="41" spans="1:6" ht="15.75">
      <c r="A41" s="160" t="s">
        <v>407</v>
      </c>
      <c r="B41" s="149"/>
      <c r="C41" s="149"/>
      <c r="D41" s="161">
        <f>D27+D33+D40</f>
        <v>286767.33970000001</v>
      </c>
      <c r="E41" s="161">
        <f>E27+E33+E40</f>
        <v>5353.7791999999999</v>
      </c>
      <c r="F41" s="162">
        <f>D41/313505*100</f>
        <v>91.471376756351574</v>
      </c>
    </row>
    <row r="42" spans="1:6">
      <c r="F42" s="247">
        <f>F40+F33+F27</f>
        <v>99.999999999999986</v>
      </c>
    </row>
  </sheetData>
  <mergeCells count="1">
    <mergeCell ref="A3:E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2:G45"/>
  <sheetViews>
    <sheetView topLeftCell="A24" workbookViewId="0">
      <selection activeCell="E26" sqref="E26"/>
    </sheetView>
  </sheetViews>
  <sheetFormatPr defaultColWidth="27.7109375" defaultRowHeight="15"/>
  <cols>
    <col min="1" max="3" width="27.7109375" style="140"/>
    <col min="4" max="4" width="27.7109375" style="269"/>
    <col min="5" max="16384" width="27.7109375" style="140"/>
  </cols>
  <sheetData>
    <row r="2" spans="1:7" ht="47.25">
      <c r="A2" s="139" t="s">
        <v>353</v>
      </c>
      <c r="B2" s="139" t="s">
        <v>329</v>
      </c>
      <c r="C2" s="139" t="s">
        <v>330</v>
      </c>
      <c r="D2" s="139" t="s">
        <v>354</v>
      </c>
      <c r="E2" s="139" t="s">
        <v>355</v>
      </c>
    </row>
    <row r="3" spans="1:7" ht="15.75">
      <c r="A3" s="539" t="s">
        <v>356</v>
      </c>
      <c r="B3" s="539"/>
      <c r="C3" s="539"/>
      <c r="D3" s="539"/>
      <c r="E3" s="539"/>
    </row>
    <row r="4" spans="1:7" ht="15.75">
      <c r="A4" s="141" t="s">
        <v>357</v>
      </c>
      <c r="B4" s="141"/>
      <c r="C4" s="141"/>
      <c r="D4" s="141"/>
      <c r="E4" s="141"/>
    </row>
    <row r="5" spans="1:7" ht="15.75">
      <c r="A5" s="250" t="s">
        <v>358</v>
      </c>
      <c r="B5" s="142"/>
      <c r="C5" s="142"/>
      <c r="D5" s="264"/>
      <c r="E5" s="142"/>
    </row>
    <row r="6" spans="1:7" ht="31.5">
      <c r="A6" s="143" t="s">
        <v>359</v>
      </c>
      <c r="B6" s="143" t="s">
        <v>360</v>
      </c>
      <c r="C6" s="144" t="s">
        <v>361</v>
      </c>
      <c r="D6" s="265">
        <v>40412</v>
      </c>
      <c r="E6" s="143"/>
      <c r="F6" s="140">
        <f>155252+19980+3600+733</f>
        <v>179565</v>
      </c>
      <c r="G6" s="140" t="s">
        <v>452</v>
      </c>
    </row>
    <row r="7" spans="1:7" ht="31.5">
      <c r="A7" s="146" t="s">
        <v>362</v>
      </c>
      <c r="B7" s="142"/>
      <c r="C7" s="147"/>
      <c r="D7" s="266" t="s">
        <v>478</v>
      </c>
      <c r="E7" s="142"/>
    </row>
    <row r="8" spans="1:7" ht="31.5">
      <c r="A8" s="143" t="s">
        <v>363</v>
      </c>
      <c r="B8" s="143" t="s">
        <v>364</v>
      </c>
      <c r="C8" s="144" t="s">
        <v>361</v>
      </c>
      <c r="D8" s="265" t="s">
        <v>478</v>
      </c>
      <c r="E8" s="143"/>
    </row>
    <row r="9" spans="1:7" ht="63">
      <c r="A9" s="146" t="s">
        <v>472</v>
      </c>
      <c r="B9" s="142" t="s">
        <v>470</v>
      </c>
      <c r="C9" s="261" t="s">
        <v>365</v>
      </c>
      <c r="D9" s="266" t="s">
        <v>478</v>
      </c>
      <c r="E9" s="260"/>
    </row>
    <row r="10" spans="1:7" ht="63">
      <c r="A10" s="143" t="s">
        <v>473</v>
      </c>
      <c r="B10" s="143" t="s">
        <v>471</v>
      </c>
      <c r="C10" s="144" t="s">
        <v>365</v>
      </c>
      <c r="D10" s="265" t="s">
        <v>478</v>
      </c>
      <c r="E10" s="143"/>
    </row>
    <row r="11" spans="1:7" ht="31.5">
      <c r="A11" s="146" t="s">
        <v>474</v>
      </c>
      <c r="B11" s="260" t="s">
        <v>366</v>
      </c>
      <c r="C11" s="261" t="s">
        <v>361</v>
      </c>
      <c r="D11" s="266" t="s">
        <v>478</v>
      </c>
      <c r="E11" s="260"/>
    </row>
    <row r="12" spans="1:7" ht="31.5">
      <c r="A12" s="143" t="s">
        <v>475</v>
      </c>
      <c r="B12" s="143"/>
      <c r="C12" s="144" t="s">
        <v>361</v>
      </c>
      <c r="D12" s="265" t="s">
        <v>478</v>
      </c>
      <c r="E12" s="143"/>
    </row>
    <row r="13" spans="1:7" ht="47.25">
      <c r="A13" s="146" t="s">
        <v>476</v>
      </c>
      <c r="B13" s="260" t="s">
        <v>367</v>
      </c>
      <c r="C13" s="261" t="s">
        <v>365</v>
      </c>
      <c r="D13" s="266" t="s">
        <v>478</v>
      </c>
      <c r="E13" s="260"/>
    </row>
    <row r="14" spans="1:7" ht="47.25">
      <c r="A14" s="143" t="s">
        <v>368</v>
      </c>
      <c r="B14" s="143" t="s">
        <v>369</v>
      </c>
      <c r="C14" s="144" t="s">
        <v>361</v>
      </c>
      <c r="D14" s="265">
        <v>3193</v>
      </c>
      <c r="E14" s="143"/>
    </row>
    <row r="15" spans="1:7" ht="45">
      <c r="A15" s="146" t="s">
        <v>370</v>
      </c>
      <c r="B15" s="260" t="s">
        <v>371</v>
      </c>
      <c r="C15" s="261" t="s">
        <v>361</v>
      </c>
      <c r="D15" s="261">
        <v>8699</v>
      </c>
      <c r="E15" s="260"/>
    </row>
    <row r="16" spans="1:7" ht="47.25">
      <c r="A16" s="143" t="s">
        <v>372</v>
      </c>
      <c r="B16" s="143" t="s">
        <v>373</v>
      </c>
      <c r="C16" s="144" t="s">
        <v>361</v>
      </c>
      <c r="D16" s="265" t="s">
        <v>478</v>
      </c>
      <c r="E16" s="143"/>
    </row>
    <row r="17" spans="1:6" ht="45">
      <c r="A17" s="146" t="s">
        <v>374</v>
      </c>
      <c r="B17" s="260" t="s">
        <v>375</v>
      </c>
      <c r="C17" s="261" t="s">
        <v>361</v>
      </c>
      <c r="D17" s="261">
        <v>3317</v>
      </c>
      <c r="E17" s="260"/>
    </row>
    <row r="18" spans="1:6" ht="31.5">
      <c r="A18" s="143" t="s">
        <v>376</v>
      </c>
      <c r="B18" s="143" t="s">
        <v>377</v>
      </c>
      <c r="C18" s="144" t="s">
        <v>361</v>
      </c>
      <c r="D18" s="265">
        <v>4122</v>
      </c>
      <c r="E18" s="143"/>
    </row>
    <row r="19" spans="1:6" ht="31.5">
      <c r="A19" s="146" t="s">
        <v>378</v>
      </c>
      <c r="B19" s="260" t="s">
        <v>379</v>
      </c>
      <c r="C19" s="261" t="s">
        <v>361</v>
      </c>
      <c r="D19" s="261">
        <v>5046</v>
      </c>
      <c r="E19" s="260"/>
    </row>
    <row r="20" spans="1:6" ht="31.5">
      <c r="A20" s="143" t="s">
        <v>380</v>
      </c>
      <c r="B20" s="143"/>
      <c r="C20" s="144" t="s">
        <v>361</v>
      </c>
      <c r="D20" s="265">
        <v>2616</v>
      </c>
      <c r="E20" s="143"/>
    </row>
    <row r="21" spans="1:6" ht="47.25">
      <c r="A21" s="146" t="s">
        <v>381</v>
      </c>
      <c r="B21" s="260"/>
      <c r="C21" s="261" t="s">
        <v>361</v>
      </c>
      <c r="D21" s="261">
        <v>1291</v>
      </c>
      <c r="E21" s="260"/>
    </row>
    <row r="22" spans="1:6" ht="15.75">
      <c r="A22" s="143" t="s">
        <v>382</v>
      </c>
      <c r="B22" s="143" t="s">
        <v>331</v>
      </c>
      <c r="C22" s="144" t="s">
        <v>361</v>
      </c>
      <c r="D22" s="265">
        <v>5339</v>
      </c>
      <c r="E22" s="143"/>
    </row>
    <row r="23" spans="1:6" ht="47.25">
      <c r="A23" s="146" t="s">
        <v>383</v>
      </c>
      <c r="B23" s="260" t="s">
        <v>384</v>
      </c>
      <c r="C23" s="261" t="s">
        <v>361</v>
      </c>
      <c r="D23" s="261">
        <v>3659</v>
      </c>
      <c r="E23" s="260"/>
    </row>
    <row r="24" spans="1:6" ht="47.25">
      <c r="A24" s="143" t="s">
        <v>385</v>
      </c>
      <c r="B24" s="143" t="s">
        <v>386</v>
      </c>
      <c r="C24" s="144" t="s">
        <v>361</v>
      </c>
      <c r="D24" s="265">
        <v>5682</v>
      </c>
      <c r="E24" s="143"/>
    </row>
    <row r="25" spans="1:6" ht="165">
      <c r="A25" s="146" t="s">
        <v>387</v>
      </c>
      <c r="B25" s="260" t="s">
        <v>411</v>
      </c>
      <c r="C25" s="261" t="s">
        <v>388</v>
      </c>
      <c r="D25" s="267">
        <v>4700.3397000000004</v>
      </c>
      <c r="E25" s="262">
        <v>4699.2791999999999</v>
      </c>
    </row>
    <row r="26" spans="1:6" ht="409.5">
      <c r="A26" s="143" t="s">
        <v>389</v>
      </c>
      <c r="B26" s="143" t="s">
        <v>477</v>
      </c>
      <c r="C26" s="144" t="s">
        <v>390</v>
      </c>
      <c r="D26" s="265">
        <v>2618</v>
      </c>
      <c r="E26" s="143">
        <v>654.5</v>
      </c>
    </row>
    <row r="27" spans="1:6" ht="47.25">
      <c r="A27" s="146" t="s">
        <v>391</v>
      </c>
      <c r="B27" s="260" t="s">
        <v>392</v>
      </c>
      <c r="C27" s="261" t="s">
        <v>361</v>
      </c>
      <c r="D27" s="261">
        <v>30220</v>
      </c>
      <c r="E27" s="260"/>
    </row>
    <row r="28" spans="1:6" ht="15.75">
      <c r="A28" s="143" t="s">
        <v>393</v>
      </c>
      <c r="B28" s="143"/>
      <c r="C28" s="144"/>
      <c r="D28" s="268">
        <f>SUM(D6:D27)</f>
        <v>120914.3397</v>
      </c>
      <c r="E28" s="263">
        <f>SUM(E6:E27)</f>
        <v>5353.7791999999999</v>
      </c>
      <c r="F28" s="162">
        <f>D28/D44*100</f>
        <v>80.250391309157507</v>
      </c>
    </row>
    <row r="29" spans="1:6" ht="15.75">
      <c r="A29" s="146" t="s">
        <v>73</v>
      </c>
      <c r="B29" s="142"/>
      <c r="C29" s="147"/>
      <c r="D29" s="261"/>
      <c r="E29" s="142"/>
      <c r="F29" s="162"/>
    </row>
    <row r="30" spans="1:6" ht="47.25">
      <c r="A30" s="143" t="s">
        <v>394</v>
      </c>
      <c r="B30" s="143"/>
      <c r="C30" s="144"/>
      <c r="D30" s="265"/>
      <c r="E30" s="143"/>
      <c r="F30" s="162"/>
    </row>
    <row r="31" spans="1:6" ht="31.5">
      <c r="A31" s="146" t="s">
        <v>395</v>
      </c>
      <c r="B31" s="142"/>
      <c r="C31" s="261" t="s">
        <v>361</v>
      </c>
      <c r="D31" s="261">
        <v>5000</v>
      </c>
      <c r="E31" s="260"/>
      <c r="F31" s="162"/>
    </row>
    <row r="32" spans="1:6" ht="15.75">
      <c r="A32" s="143" t="s">
        <v>396</v>
      </c>
      <c r="B32" s="143"/>
      <c r="C32" s="144"/>
      <c r="D32" s="265"/>
      <c r="E32" s="143"/>
      <c r="F32" s="162"/>
    </row>
    <row r="33" spans="1:6" ht="31.5">
      <c r="A33" s="146" t="s">
        <v>397</v>
      </c>
      <c r="B33" s="142"/>
      <c r="C33" s="261" t="s">
        <v>361</v>
      </c>
      <c r="D33" s="261">
        <v>9100</v>
      </c>
      <c r="E33" s="260"/>
      <c r="F33" s="162"/>
    </row>
    <row r="34" spans="1:6" ht="15.75">
      <c r="A34" s="152" t="s">
        <v>284</v>
      </c>
      <c r="B34" s="153"/>
      <c r="C34" s="154" t="s">
        <v>361</v>
      </c>
      <c r="D34" s="154">
        <v>240</v>
      </c>
      <c r="E34" s="429"/>
      <c r="F34" s="162"/>
    </row>
    <row r="35" spans="1:6" ht="31.5">
      <c r="A35" s="146" t="s">
        <v>70</v>
      </c>
      <c r="B35" s="142"/>
      <c r="C35" s="261" t="s">
        <v>361</v>
      </c>
      <c r="D35" s="261">
        <v>350</v>
      </c>
      <c r="E35" s="260"/>
      <c r="F35" s="162"/>
    </row>
    <row r="36" spans="1:6" ht="15.75">
      <c r="A36" s="143" t="s">
        <v>393</v>
      </c>
      <c r="B36" s="143"/>
      <c r="C36" s="144"/>
      <c r="D36" s="268">
        <f>SUM(D31:D35)</f>
        <v>14690</v>
      </c>
      <c r="E36" s="143"/>
      <c r="F36" s="247">
        <f>D36/D44*100</f>
        <v>9.7496976062263006</v>
      </c>
    </row>
    <row r="37" spans="1:6" ht="15.75">
      <c r="A37" s="146" t="s">
        <v>60</v>
      </c>
      <c r="B37" s="142"/>
      <c r="C37" s="147"/>
      <c r="D37" s="261"/>
      <c r="E37" s="142"/>
      <c r="F37" s="162"/>
    </row>
    <row r="38" spans="1:6" ht="15.75">
      <c r="A38" s="143" t="s">
        <v>398</v>
      </c>
      <c r="B38" s="143"/>
      <c r="C38" s="144"/>
      <c r="D38" s="265"/>
      <c r="E38" s="143"/>
      <c r="F38" s="162"/>
    </row>
    <row r="39" spans="1:6" ht="90">
      <c r="A39" s="146" t="s">
        <v>399</v>
      </c>
      <c r="B39" s="142" t="s">
        <v>415</v>
      </c>
      <c r="C39" s="261" t="s">
        <v>361</v>
      </c>
      <c r="D39" s="261">
        <v>5793</v>
      </c>
      <c r="E39" s="260"/>
      <c r="F39" s="162"/>
    </row>
    <row r="40" spans="1:6" ht="31.5">
      <c r="A40" s="143" t="s">
        <v>400</v>
      </c>
      <c r="B40" s="143" t="s">
        <v>401</v>
      </c>
      <c r="C40" s="144" t="s">
        <v>402</v>
      </c>
      <c r="D40" s="265">
        <v>1847</v>
      </c>
      <c r="E40" s="143"/>
      <c r="F40" s="162"/>
    </row>
    <row r="41" spans="1:6" ht="31.5">
      <c r="A41" s="146" t="s">
        <v>403</v>
      </c>
      <c r="B41" s="142"/>
      <c r="C41" s="261"/>
      <c r="D41" s="261"/>
      <c r="E41" s="260"/>
      <c r="F41" s="162"/>
    </row>
    <row r="42" spans="1:6" ht="94.5">
      <c r="A42" s="143" t="s">
        <v>404</v>
      </c>
      <c r="B42" s="143" t="s">
        <v>414</v>
      </c>
      <c r="C42" s="144" t="s">
        <v>479</v>
      </c>
      <c r="D42" s="265">
        <v>7427</v>
      </c>
      <c r="E42" s="143"/>
      <c r="F42" s="162"/>
    </row>
    <row r="43" spans="1:6" ht="15.75">
      <c r="A43" s="146" t="s">
        <v>406</v>
      </c>
      <c r="B43" s="142"/>
      <c r="C43" s="147"/>
      <c r="D43" s="430">
        <v>15067</v>
      </c>
      <c r="E43" s="142"/>
      <c r="F43" s="247">
        <f>D43/D44*100</f>
        <v>9.9999110846161798</v>
      </c>
    </row>
    <row r="44" spans="1:6" ht="15.75">
      <c r="A44" s="143" t="s">
        <v>407</v>
      </c>
      <c r="B44" s="143"/>
      <c r="C44" s="144"/>
      <c r="D44" s="268">
        <f>D28+D36+D43</f>
        <v>150671.33970000001</v>
      </c>
      <c r="E44" s="263">
        <f>E28+E36+E43</f>
        <v>5353.7791999999999</v>
      </c>
      <c r="F44" s="162">
        <f>D44/313505*100</f>
        <v>48.060266885695604</v>
      </c>
    </row>
    <row r="45" spans="1:6">
      <c r="F45" s="247">
        <f>F43+F36+F28</f>
        <v>99.999999999999986</v>
      </c>
    </row>
  </sheetData>
  <mergeCells count="1">
    <mergeCell ref="A3:E3"/>
  </mergeCells>
  <pageMargins left="0.7" right="0.7" top="0.75" bottom="0.75" header="0.3" footer="0.3"/>
  <pageSetup orientation="portrait" horizontalDpi="300" verticalDpi="300" r:id="rId1"/>
</worksheet>
</file>

<file path=xl/worksheets/sheet8.xml><?xml version="1.0" encoding="utf-8"?>
<worksheet xmlns="http://schemas.openxmlformats.org/spreadsheetml/2006/main" xmlns:r="http://schemas.openxmlformats.org/officeDocument/2006/relationships">
  <dimension ref="A1:E15"/>
  <sheetViews>
    <sheetView topLeftCell="A7" workbookViewId="0">
      <selection activeCell="C17" sqref="C17"/>
    </sheetView>
  </sheetViews>
  <sheetFormatPr defaultRowHeight="15.75"/>
  <cols>
    <col min="1" max="1" width="33" customWidth="1"/>
    <col min="2" max="2" width="19.5703125" customWidth="1"/>
    <col min="3" max="3" width="12" customWidth="1"/>
    <col min="4" max="4" width="18.5703125" style="192" customWidth="1"/>
    <col min="5" max="6" width="22.42578125" customWidth="1"/>
  </cols>
  <sheetData>
    <row r="1" spans="1:5" ht="16.5" thickBot="1"/>
    <row r="2" spans="1:5" ht="47.25">
      <c r="A2" s="163"/>
      <c r="B2" s="165"/>
      <c r="C2" s="165"/>
      <c r="D2" s="185" t="s">
        <v>419</v>
      </c>
      <c r="E2" s="540" t="s">
        <v>355</v>
      </c>
    </row>
    <row r="3" spans="1:5" ht="32.25" thickBot="1">
      <c r="A3" s="164" t="s">
        <v>190</v>
      </c>
      <c r="B3" s="166" t="s">
        <v>329</v>
      </c>
      <c r="C3" s="166" t="s">
        <v>330</v>
      </c>
      <c r="D3" s="186" t="s">
        <v>420</v>
      </c>
      <c r="E3" s="541"/>
    </row>
    <row r="4" spans="1:5" ht="24.75" customHeight="1" thickBot="1">
      <c r="A4" s="542" t="s">
        <v>421</v>
      </c>
      <c r="B4" s="543"/>
      <c r="C4" s="543"/>
      <c r="D4" s="543"/>
      <c r="E4" s="544"/>
    </row>
    <row r="5" spans="1:5" ht="32.25" thickBot="1">
      <c r="A5" s="169" t="s">
        <v>422</v>
      </c>
      <c r="B5" s="170" t="s">
        <v>423</v>
      </c>
      <c r="C5" s="170" t="s">
        <v>18</v>
      </c>
      <c r="D5" s="187">
        <v>169818</v>
      </c>
      <c r="E5" s="171"/>
    </row>
    <row r="6" spans="1:5" ht="48" customHeight="1" thickBot="1">
      <c r="A6" s="167" t="s">
        <v>424</v>
      </c>
      <c r="B6" s="172" t="s">
        <v>425</v>
      </c>
      <c r="C6" s="172" t="s">
        <v>18</v>
      </c>
      <c r="D6" s="188">
        <v>2767</v>
      </c>
      <c r="E6" s="168"/>
    </row>
    <row r="7" spans="1:5" ht="21" customHeight="1" thickBot="1">
      <c r="A7" s="169" t="s">
        <v>426</v>
      </c>
      <c r="B7" s="170" t="s">
        <v>427</v>
      </c>
      <c r="C7" s="170" t="s">
        <v>18</v>
      </c>
      <c r="D7" s="187">
        <v>20352</v>
      </c>
      <c r="E7" s="171"/>
    </row>
    <row r="8" spans="1:5" ht="39.75" customHeight="1">
      <c r="A8" s="177" t="s">
        <v>428</v>
      </c>
      <c r="B8" s="178" t="s">
        <v>429</v>
      </c>
      <c r="C8" s="178" t="s">
        <v>18</v>
      </c>
      <c r="D8" s="193">
        <v>12531</v>
      </c>
      <c r="E8" s="179"/>
    </row>
    <row r="9" spans="1:5" ht="32.25" thickBot="1">
      <c r="A9" s="169" t="s">
        <v>430</v>
      </c>
      <c r="B9" s="170" t="s">
        <v>431</v>
      </c>
      <c r="C9" s="170" t="s">
        <v>18</v>
      </c>
      <c r="D9" s="187">
        <v>9575</v>
      </c>
      <c r="E9" s="171"/>
    </row>
    <row r="10" spans="1:5" ht="39.75" customHeight="1" thickBot="1">
      <c r="A10" s="167" t="s">
        <v>432</v>
      </c>
      <c r="B10" s="172" t="s">
        <v>431</v>
      </c>
      <c r="C10" s="172" t="s">
        <v>18</v>
      </c>
      <c r="D10" s="188">
        <v>4632</v>
      </c>
      <c r="E10" s="168"/>
    </row>
    <row r="11" spans="1:5" ht="33.75" customHeight="1" thickBot="1">
      <c r="A11" s="180" t="s">
        <v>433</v>
      </c>
      <c r="B11" s="181" t="s">
        <v>431</v>
      </c>
      <c r="C11" s="181" t="s">
        <v>18</v>
      </c>
      <c r="D11" s="189">
        <v>2609</v>
      </c>
      <c r="E11" s="182"/>
    </row>
    <row r="12" spans="1:5" ht="60.75" customHeight="1">
      <c r="A12" s="180" t="s">
        <v>434</v>
      </c>
      <c r="B12" s="181" t="s">
        <v>437</v>
      </c>
      <c r="C12" s="181" t="s">
        <v>18</v>
      </c>
      <c r="D12" s="189">
        <v>3500</v>
      </c>
      <c r="E12" s="183"/>
    </row>
    <row r="13" spans="1:5" ht="60.75" customHeight="1">
      <c r="A13" s="173" t="s">
        <v>435</v>
      </c>
      <c r="B13" s="184" t="s">
        <v>436</v>
      </c>
      <c r="C13" s="184" t="s">
        <v>119</v>
      </c>
      <c r="D13" s="190">
        <v>34559</v>
      </c>
      <c r="E13" s="174"/>
    </row>
    <row r="14" spans="1:5" ht="16.5" thickBot="1">
      <c r="A14" s="175" t="s">
        <v>393</v>
      </c>
      <c r="B14" s="172"/>
      <c r="C14" s="172"/>
      <c r="D14" s="191">
        <f>SUM(D4:D13)</f>
        <v>260343</v>
      </c>
      <c r="E14" s="168"/>
    </row>
    <row r="15" spans="1:5">
      <c r="A15" s="176"/>
    </row>
  </sheetData>
  <mergeCells count="2">
    <mergeCell ref="E2:E3"/>
    <mergeCell ref="A4:E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dimension ref="A1:I29"/>
  <sheetViews>
    <sheetView topLeftCell="A13" workbookViewId="0">
      <selection activeCell="H13" sqref="H13"/>
    </sheetView>
  </sheetViews>
  <sheetFormatPr defaultRowHeight="15"/>
  <cols>
    <col min="1" max="1" width="22.140625" customWidth="1"/>
    <col min="2" max="2" width="10.7109375" customWidth="1"/>
    <col min="3" max="3" width="9.5703125" bestFit="1" customWidth="1"/>
    <col min="4" max="5" width="10.5703125" bestFit="1" customWidth="1"/>
    <col min="6" max="6" width="19.28515625" customWidth="1"/>
    <col min="7" max="7" width="18.85546875" customWidth="1"/>
    <col min="8" max="8" width="17.85546875" customWidth="1"/>
    <col min="9" max="9" width="19.28515625" customWidth="1"/>
  </cols>
  <sheetData>
    <row r="1" spans="1:9" ht="15.75">
      <c r="A1" s="545" t="s">
        <v>527</v>
      </c>
      <c r="B1" s="545"/>
      <c r="C1" s="545"/>
      <c r="D1" s="545"/>
      <c r="E1" s="545"/>
      <c r="F1" s="545"/>
      <c r="G1" s="545"/>
      <c r="H1" s="545"/>
      <c r="I1" s="135"/>
    </row>
    <row r="2" spans="1:9" ht="16.5" thickBot="1">
      <c r="A2" s="135"/>
      <c r="B2" s="135"/>
      <c r="C2" s="135"/>
      <c r="D2" s="135"/>
      <c r="E2" s="135"/>
      <c r="F2" s="135"/>
      <c r="G2" s="135"/>
      <c r="H2" s="135"/>
      <c r="I2" s="251">
        <v>1000</v>
      </c>
    </row>
    <row r="3" spans="1:9" ht="15.75">
      <c r="A3" s="546" t="s">
        <v>333</v>
      </c>
      <c r="B3" s="548" t="s">
        <v>334</v>
      </c>
      <c r="C3" s="550" t="s">
        <v>335</v>
      </c>
      <c r="D3" s="550"/>
      <c r="E3" s="550"/>
      <c r="F3" s="550"/>
      <c r="G3" s="550"/>
      <c r="H3" s="551"/>
      <c r="I3" s="299"/>
    </row>
    <row r="4" spans="1:9" ht="31.5">
      <c r="A4" s="547"/>
      <c r="B4" s="549"/>
      <c r="C4" s="298">
        <v>2013</v>
      </c>
      <c r="D4" s="298">
        <v>2014</v>
      </c>
      <c r="E4" s="298">
        <v>2015</v>
      </c>
      <c r="F4" s="298">
        <v>2016</v>
      </c>
      <c r="G4" s="298" t="s">
        <v>528</v>
      </c>
      <c r="H4" s="298" t="s">
        <v>448</v>
      </c>
      <c r="I4" s="299" t="s">
        <v>140</v>
      </c>
    </row>
    <row r="5" spans="1:9" ht="15.75">
      <c r="A5" s="135" t="s">
        <v>338</v>
      </c>
      <c r="B5" s="254">
        <v>4</v>
      </c>
      <c r="C5" s="288" t="e">
        <f>'Chapter 6 Annex B'!#REF!/#REF!</f>
        <v>#REF!</v>
      </c>
      <c r="D5" s="288" t="e">
        <f>'Chapter 6 Annex B'!#REF!/#REF!</f>
        <v>#REF!</v>
      </c>
      <c r="E5" s="288" t="e">
        <f>'Chapter 6 Annex B'!#REF!/#REF!</f>
        <v>#REF!</v>
      </c>
      <c r="F5" s="288" t="e">
        <f>'Chapter 6 Annex B'!#REF!/#REF!</f>
        <v>#REF!</v>
      </c>
      <c r="G5" s="288" t="e">
        <f>SUM(C5:F5)</f>
        <v>#REF!</v>
      </c>
      <c r="H5" s="289"/>
      <c r="I5" s="288" t="e">
        <f>H5+G5</f>
        <v>#REF!</v>
      </c>
    </row>
    <row r="6" spans="1:9" ht="15.75">
      <c r="A6" s="136" t="s">
        <v>451</v>
      </c>
      <c r="B6" s="138">
        <v>4</v>
      </c>
      <c r="C6" s="290">
        <v>0</v>
      </c>
      <c r="D6" s="290">
        <v>3305</v>
      </c>
      <c r="E6" s="290">
        <v>4008</v>
      </c>
      <c r="F6" s="290">
        <v>2726</v>
      </c>
      <c r="G6" s="290">
        <f>SUM(C6:F6)</f>
        <v>10039</v>
      </c>
      <c r="H6" s="291">
        <v>4699</v>
      </c>
      <c r="I6" s="290">
        <f>H6+G6</f>
        <v>14738</v>
      </c>
    </row>
    <row r="7" spans="1:9" ht="15.75">
      <c r="A7" s="300" t="s">
        <v>16</v>
      </c>
      <c r="B7" s="301">
        <v>1</v>
      </c>
      <c r="C7" s="302">
        <v>487</v>
      </c>
      <c r="D7" s="303">
        <v>9970</v>
      </c>
      <c r="E7" s="303">
        <v>13402</v>
      </c>
      <c r="F7" s="303">
        <v>10700</v>
      </c>
      <c r="G7" s="302">
        <f>SUM(C7:F7)</f>
        <v>34559</v>
      </c>
      <c r="H7" s="304"/>
      <c r="I7" s="302">
        <f>H7+G7</f>
        <v>34559</v>
      </c>
    </row>
    <row r="8" spans="1:9" ht="15.75">
      <c r="A8" s="199" t="s">
        <v>140</v>
      </c>
      <c r="B8" s="199">
        <f t="shared" ref="B8:I8" si="0">SUM(B5:B7)</f>
        <v>9</v>
      </c>
      <c r="C8" s="292" t="e">
        <f t="shared" si="0"/>
        <v>#REF!</v>
      </c>
      <c r="D8" s="292" t="e">
        <f t="shared" si="0"/>
        <v>#REF!</v>
      </c>
      <c r="E8" s="292" t="e">
        <f t="shared" si="0"/>
        <v>#REF!</v>
      </c>
      <c r="F8" s="292" t="e">
        <f t="shared" si="0"/>
        <v>#REF!</v>
      </c>
      <c r="G8" s="290" t="e">
        <f>SUM(C8:F8)</f>
        <v>#REF!</v>
      </c>
      <c r="H8" s="293">
        <f t="shared" si="0"/>
        <v>4699</v>
      </c>
      <c r="I8" s="294" t="e">
        <f t="shared" si="0"/>
        <v>#REF!</v>
      </c>
    </row>
    <row r="11" spans="1:9">
      <c r="A11" s="137" t="s">
        <v>37</v>
      </c>
      <c r="B11" s="295"/>
      <c r="C11" s="295"/>
      <c r="D11" s="295"/>
      <c r="E11" s="295"/>
      <c r="F11" s="295"/>
    </row>
    <row r="12" spans="1:9" ht="45">
      <c r="A12" s="286" t="s">
        <v>330</v>
      </c>
      <c r="B12" s="287">
        <v>2013</v>
      </c>
      <c r="C12" s="287">
        <v>2014</v>
      </c>
      <c r="D12" s="287">
        <v>2015</v>
      </c>
      <c r="E12" s="287">
        <v>2016</v>
      </c>
      <c r="F12" s="286" t="s">
        <v>419</v>
      </c>
    </row>
    <row r="13" spans="1:9">
      <c r="A13" s="297" t="s">
        <v>542</v>
      </c>
      <c r="B13" s="296"/>
      <c r="C13" s="296">
        <v>103.69</v>
      </c>
      <c r="D13" s="296">
        <v>98.37</v>
      </c>
      <c r="E13" s="296">
        <v>84.35</v>
      </c>
      <c r="F13" s="296">
        <f>SUM(B13:E13)</f>
        <v>286.40999999999997</v>
      </c>
    </row>
    <row r="14" spans="1:9">
      <c r="A14" s="297" t="s">
        <v>456</v>
      </c>
      <c r="B14" s="296">
        <v>1.143</v>
      </c>
      <c r="C14" s="296">
        <v>205.74</v>
      </c>
      <c r="D14" s="296">
        <v>209.23</v>
      </c>
      <c r="E14" s="296">
        <v>279.60199999999998</v>
      </c>
      <c r="F14" s="296">
        <f t="shared" ref="F14:F28" si="1">SUM(B14:E14)</f>
        <v>695.71499999999992</v>
      </c>
    </row>
    <row r="15" spans="1:9">
      <c r="A15" s="297" t="s">
        <v>513</v>
      </c>
      <c r="B15" s="296">
        <v>0.127</v>
      </c>
      <c r="C15" s="296">
        <v>35.732999999999997</v>
      </c>
      <c r="D15" s="296">
        <v>36.50023437634615</v>
      </c>
      <c r="E15" s="296">
        <v>45.694000000000003</v>
      </c>
      <c r="F15" s="296">
        <f t="shared" si="1"/>
        <v>118.05423437634614</v>
      </c>
    </row>
    <row r="16" spans="1:9">
      <c r="A16" s="31" t="s">
        <v>514</v>
      </c>
      <c r="B16" s="296">
        <v>1.2689999999999999</v>
      </c>
      <c r="C16" s="296">
        <v>181.93899999999999</v>
      </c>
      <c r="D16" s="296">
        <v>151.95723921876188</v>
      </c>
      <c r="E16" s="296">
        <v>208.81200000000001</v>
      </c>
      <c r="F16" s="296">
        <f t="shared" si="1"/>
        <v>543.97723921876195</v>
      </c>
    </row>
    <row r="17" spans="1:6">
      <c r="A17" s="31" t="s">
        <v>515</v>
      </c>
      <c r="B17" s="296">
        <v>56.947000000000003</v>
      </c>
      <c r="C17" s="296">
        <v>252.648</v>
      </c>
      <c r="D17" s="296">
        <v>423.07437394715924</v>
      </c>
      <c r="E17" s="296">
        <v>293.64400000000001</v>
      </c>
      <c r="F17" s="296">
        <f t="shared" si="1"/>
        <v>1026.3133739471593</v>
      </c>
    </row>
    <row r="18" spans="1:6">
      <c r="A18" s="31" t="s">
        <v>516</v>
      </c>
      <c r="B18" s="296">
        <v>0.16624</v>
      </c>
      <c r="C18" s="296">
        <v>199.16600116000001</v>
      </c>
      <c r="D18" s="296">
        <v>1203.0599143120899</v>
      </c>
      <c r="E18" s="296">
        <v>555.58621500000004</v>
      </c>
      <c r="F18" s="296">
        <f t="shared" si="1"/>
        <v>1957.9783704720899</v>
      </c>
    </row>
    <row r="19" spans="1:6">
      <c r="A19" s="31" t="s">
        <v>517</v>
      </c>
      <c r="B19" s="296">
        <v>67.73</v>
      </c>
      <c r="C19" s="296">
        <v>842.48199999999997</v>
      </c>
      <c r="D19" s="296">
        <v>2100.1419568823908</v>
      </c>
      <c r="E19" s="296">
        <v>1204.8119999999999</v>
      </c>
      <c r="F19" s="296">
        <f t="shared" si="1"/>
        <v>4215.1659568823907</v>
      </c>
    </row>
    <row r="20" spans="1:6">
      <c r="A20" s="31" t="s">
        <v>518</v>
      </c>
      <c r="B20" s="296">
        <v>24.445</v>
      </c>
      <c r="C20" s="296">
        <v>427.91699999999997</v>
      </c>
      <c r="D20" s="296">
        <v>1307.4186029185687</v>
      </c>
      <c r="E20" s="296">
        <v>564.72699999999998</v>
      </c>
      <c r="F20" s="296">
        <f t="shared" si="1"/>
        <v>2324.5076029185684</v>
      </c>
    </row>
    <row r="21" spans="1:6">
      <c r="A21" s="31" t="s">
        <v>519</v>
      </c>
      <c r="B21" s="296">
        <v>8.8859999999999992</v>
      </c>
      <c r="C21" s="296">
        <v>1209.68</v>
      </c>
      <c r="D21" s="296">
        <v>1902.5954705315494</v>
      </c>
      <c r="E21" s="296">
        <v>1532.6010000000001</v>
      </c>
      <c r="F21" s="296">
        <f t="shared" si="1"/>
        <v>4653.7624705315502</v>
      </c>
    </row>
    <row r="22" spans="1:6">
      <c r="A22" s="31" t="s">
        <v>520</v>
      </c>
      <c r="B22" s="296">
        <v>73.513999999999996</v>
      </c>
      <c r="C22" s="296">
        <v>853.57399999999996</v>
      </c>
      <c r="D22" s="296">
        <v>1790.5977738729346</v>
      </c>
      <c r="E22" s="296">
        <v>1132.7190000000001</v>
      </c>
      <c r="F22" s="296">
        <f t="shared" si="1"/>
        <v>3850.4047738729346</v>
      </c>
    </row>
    <row r="23" spans="1:6">
      <c r="A23" s="31" t="s">
        <v>521</v>
      </c>
      <c r="B23" s="296">
        <v>76.724000000000004</v>
      </c>
      <c r="C23" s="296">
        <v>701.94500000000005</v>
      </c>
      <c r="D23" s="296">
        <v>1249.7845842857721</v>
      </c>
      <c r="E23" s="296">
        <v>756.33</v>
      </c>
      <c r="F23" s="296">
        <f t="shared" si="1"/>
        <v>2784.7835842857721</v>
      </c>
    </row>
    <row r="24" spans="1:6">
      <c r="A24" s="31" t="s">
        <v>522</v>
      </c>
      <c r="B24" s="296">
        <v>63.612000000000002</v>
      </c>
      <c r="C24" s="296">
        <v>1460.7760000000001</v>
      </c>
      <c r="D24" s="296">
        <v>1228.8037217677911</v>
      </c>
      <c r="E24" s="296">
        <v>1589.9369999999999</v>
      </c>
      <c r="F24" s="296">
        <f t="shared" si="1"/>
        <v>4343.1287217677909</v>
      </c>
    </row>
    <row r="25" spans="1:6">
      <c r="A25" s="31" t="s">
        <v>523</v>
      </c>
      <c r="B25" s="296">
        <v>23.719000000000001</v>
      </c>
      <c r="C25" s="296">
        <v>690.25599999999997</v>
      </c>
      <c r="D25" s="296">
        <v>860.38794634206943</v>
      </c>
      <c r="E25" s="296">
        <v>737.75199999999995</v>
      </c>
      <c r="F25" s="296">
        <f t="shared" si="1"/>
        <v>2312.1149463420693</v>
      </c>
    </row>
    <row r="26" spans="1:6">
      <c r="A26" s="31" t="s">
        <v>524</v>
      </c>
      <c r="B26" s="296">
        <v>27.007000000000001</v>
      </c>
      <c r="C26" s="296">
        <v>804.54</v>
      </c>
      <c r="D26" s="296">
        <v>851.44748613227796</v>
      </c>
      <c r="E26" s="296">
        <v>775.62400000000002</v>
      </c>
      <c r="F26" s="296">
        <f t="shared" si="1"/>
        <v>2458.6184861322781</v>
      </c>
    </row>
    <row r="27" spans="1:6">
      <c r="A27" s="31" t="s">
        <v>525</v>
      </c>
      <c r="B27" s="296">
        <v>14.044</v>
      </c>
      <c r="C27" s="296">
        <v>242.62</v>
      </c>
      <c r="D27" s="296">
        <v>411.07</v>
      </c>
      <c r="E27" s="296">
        <v>312.96300000000002</v>
      </c>
      <c r="F27" s="296">
        <f t="shared" si="1"/>
        <v>980.69699999999989</v>
      </c>
    </row>
    <row r="28" spans="1:6">
      <c r="A28" s="31" t="s">
        <v>526</v>
      </c>
      <c r="B28" s="296">
        <v>47.78</v>
      </c>
      <c r="C28" s="296">
        <v>520.69000000000005</v>
      </c>
      <c r="D28" s="296">
        <v>814.79</v>
      </c>
      <c r="E28" s="296">
        <v>624.46</v>
      </c>
      <c r="F28" s="296">
        <f t="shared" si="1"/>
        <v>2007.72</v>
      </c>
    </row>
    <row r="29" spans="1:6">
      <c r="A29" s="305" t="s">
        <v>134</v>
      </c>
      <c r="B29" s="306">
        <f>SUM(B13:B28)</f>
        <v>487.11324000000002</v>
      </c>
      <c r="C29" s="306">
        <f>SUM(C13:C28)</f>
        <v>8733.3960011600011</v>
      </c>
      <c r="D29" s="306">
        <f>SUM(D13:D28)</f>
        <v>14639.229304587709</v>
      </c>
      <c r="E29" s="306">
        <f>SUM(E13:E28)</f>
        <v>10699.613214999998</v>
      </c>
      <c r="F29" s="306">
        <f>SUM(F13:F28)</f>
        <v>34559.351760747712</v>
      </c>
    </row>
  </sheetData>
  <mergeCells count="4">
    <mergeCell ref="A1:H1"/>
    <mergeCell ref="A3:A4"/>
    <mergeCell ref="B3:B4"/>
    <mergeCell ref="C3:H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2" ma:contentTypeDescription="Create a new document." ma:contentTypeScope="" ma:versionID="a7d47b6d51dbf5e68b9ceec58109abbb">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36fd46cedc825808dc5409dd56485476"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D607785-BBD8-42EC-859D-EA2B9C7AFEC6}"/>
</file>

<file path=customXml/itemProps2.xml><?xml version="1.0" encoding="utf-8"?>
<ds:datastoreItem xmlns:ds="http://schemas.openxmlformats.org/officeDocument/2006/customXml" ds:itemID="{04D4FA49-6BE9-457F-967E-00C7A80EAF21}"/>
</file>

<file path=customXml/itemProps3.xml><?xml version="1.0" encoding="utf-8"?>
<ds:datastoreItem xmlns:ds="http://schemas.openxmlformats.org/officeDocument/2006/customXml" ds:itemID="{E8DA6A91-7AD8-40F2-9F38-93DB38207C1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PIP</vt:lpstr>
      <vt:lpstr>Chapter 6 Annex B</vt:lpstr>
      <vt:lpstr>Annex B2-Non CIP</vt:lpstr>
      <vt:lpstr>Housing Summary PAPS</vt:lpstr>
      <vt:lpstr>DOH Summary PAPs</vt:lpstr>
      <vt:lpstr>Educ Summary PAPS</vt:lpstr>
      <vt:lpstr>Educ Summary PAPS (2)</vt:lpstr>
      <vt:lpstr>SWCD Summary PAPs</vt:lpstr>
      <vt:lpstr>DSWD Investment Target</vt:lpstr>
      <vt:lpstr>'Annex B2-Non CIP'!_ftn1</vt:lpstr>
      <vt:lpstr>'Annex B2-Non CIP'!_ftnref1</vt:lpstr>
      <vt:lpstr>'Annex B2-Non CIP'!_Ref377544252</vt:lpstr>
      <vt:lpstr>'Annex B2-Non CIP'!Print_Area</vt:lpstr>
      <vt:lpstr>'Chapter 6 Annex B'!Print_Area</vt:lpstr>
      <vt:lpstr>'Chapter 6 Annex B'!Print_Titles</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NEDA</dc:creator>
  <cp:lastModifiedBy>NEDA</cp:lastModifiedBy>
  <cp:lastPrinted>2014-10-10T09:10:22Z</cp:lastPrinted>
  <dcterms:created xsi:type="dcterms:W3CDTF">2011-01-10T08:16:27Z</dcterms:created>
  <dcterms:modified xsi:type="dcterms:W3CDTF">2014-10-10T09:10:35Z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