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065" yWindow="-15" windowWidth="9420" windowHeight="12225" firstSheet="1" activeTab="1"/>
  </bookViews>
  <sheets>
    <sheet name="Annex A" sheetId="11" state="hidden" r:id="rId1"/>
    <sheet name="Chapter 7 Annex B" sheetId="13" r:id="rId2"/>
    <sheet name="B-1 Strategic CIPs" sheetId="15" state="hidden" r:id="rId3"/>
    <sheet name="Annex B-2 LGAR" sheetId="20" state="hidden" r:id="rId4"/>
    <sheet name="Annex B-2" sheetId="12" state="hidden" r:id="rId5"/>
    <sheet name="Sheet1" sheetId="16" state="hidden" r:id="rId6"/>
    <sheet name="Annex B2 spatial coverage1" sheetId="17" state="hidden" r:id="rId7"/>
    <sheet name="nonCIP Spatial2" sheetId="19" state="hidden" r:id="rId8"/>
  </sheets>
  <definedNames>
    <definedName name="_xlnm._FilterDatabase" localSheetId="2" hidden="1">'B-1 Strategic CIPs'!$B$2:$C$2</definedName>
    <definedName name="_xlnm.Print_Area" localSheetId="0">'Annex A'!$A$3:$BB$67</definedName>
    <definedName name="_xlnm.Print_Area" localSheetId="4">'Annex B-2'!$A$1:$AJ$351</definedName>
    <definedName name="_xlnm.Print_Area" localSheetId="3">'Annex B-2 LGAR'!$A$1:$AV$353</definedName>
    <definedName name="_xlnm.Print_Area" localSheetId="1">'Chapter 7 Annex B'!$A$1:$AY$10</definedName>
    <definedName name="_xlnm.Print_Titles" localSheetId="0">'Annex A'!$A:$A,'Annex A'!$3:$5</definedName>
    <definedName name="_xlnm.Print_Titles" localSheetId="2">'B-1 Strategic CIPs'!$A:$A,'B-1 Strategic CIPs'!$1:$2</definedName>
    <definedName name="_xlnm.Print_Titles" localSheetId="1">'Chapter 7 Annex B'!$A:$A,'Chapter 7 Annex B'!$1:$4</definedName>
  </definedNames>
  <calcPr calcId="125725"/>
</workbook>
</file>

<file path=xl/calcChain.xml><?xml version="1.0" encoding="utf-8"?>
<calcChain xmlns="http://schemas.openxmlformats.org/spreadsheetml/2006/main">
  <c r="U9" i="13"/>
  <c r="U10" s="1"/>
  <c r="K10"/>
  <c r="L10"/>
  <c r="M10"/>
  <c r="N10"/>
  <c r="P10"/>
  <c r="Q10"/>
  <c r="R10"/>
  <c r="S10"/>
  <c r="T10"/>
  <c r="V10"/>
  <c r="W10"/>
  <c r="X10"/>
  <c r="Y10"/>
  <c r="Z10"/>
  <c r="AB10"/>
  <c r="AC10"/>
  <c r="AD10"/>
  <c r="AE10"/>
  <c r="AF10"/>
  <c r="AI10"/>
  <c r="AJ10"/>
  <c r="AK10"/>
  <c r="AL10"/>
  <c r="AN10"/>
  <c r="AO10"/>
  <c r="AP10"/>
  <c r="AQ10"/>
  <c r="AR10"/>
  <c r="AS10"/>
  <c r="AU10"/>
  <c r="AV10"/>
  <c r="AW10"/>
  <c r="AX10"/>
  <c r="J10"/>
  <c r="AA9"/>
  <c r="AA10" s="1"/>
  <c r="AG9"/>
  <c r="AG10" s="1"/>
  <c r="O9"/>
  <c r="O10" s="1"/>
  <c r="AH9"/>
  <c r="AH10" s="1"/>
  <c r="L30" i="20"/>
  <c r="AJ318"/>
  <c r="AJ320"/>
  <c r="AK336"/>
  <c r="AK288"/>
  <c r="AL288"/>
  <c r="AM288"/>
  <c r="AN288"/>
  <c r="AO288"/>
  <c r="AP288"/>
  <c r="AK289"/>
  <c r="AL289"/>
  <c r="AM289"/>
  <c r="AN289"/>
  <c r="AO289"/>
  <c r="AP289"/>
  <c r="AK290"/>
  <c r="AL290"/>
  <c r="AM290"/>
  <c r="AN290"/>
  <c r="AO290"/>
  <c r="AP290"/>
  <c r="AK291"/>
  <c r="AL291"/>
  <c r="AM291"/>
  <c r="AN291"/>
  <c r="AO291"/>
  <c r="AP291"/>
  <c r="AK292"/>
  <c r="AL292"/>
  <c r="AM292"/>
  <c r="AN292"/>
  <c r="AO292"/>
  <c r="AP292"/>
  <c r="AK293"/>
  <c r="AL293"/>
  <c r="AM293"/>
  <c r="AN293"/>
  <c r="AO293"/>
  <c r="AP293"/>
  <c r="AK294"/>
  <c r="AL294"/>
  <c r="AM294"/>
  <c r="AN294"/>
  <c r="AO294"/>
  <c r="AP294"/>
  <c r="AK295"/>
  <c r="AL295"/>
  <c r="AM295"/>
  <c r="AN295"/>
  <c r="AO295"/>
  <c r="AP295"/>
  <c r="AK296"/>
  <c r="AL296"/>
  <c r="AM296"/>
  <c r="AN296"/>
  <c r="AO296"/>
  <c r="AP296"/>
  <c r="AK297"/>
  <c r="AL297"/>
  <c r="AM297"/>
  <c r="AN297"/>
  <c r="AO297"/>
  <c r="AP297"/>
  <c r="AK298"/>
  <c r="AL298"/>
  <c r="AM298"/>
  <c r="AN298"/>
  <c r="AO298"/>
  <c r="AP298"/>
  <c r="AK299"/>
  <c r="AL299"/>
  <c r="AM299"/>
  <c r="AN299"/>
  <c r="AO299"/>
  <c r="AP299"/>
  <c r="AK300"/>
  <c r="AL300"/>
  <c r="AM300"/>
  <c r="AN300"/>
  <c r="AO300"/>
  <c r="AP300"/>
  <c r="AK301"/>
  <c r="AL301"/>
  <c r="AM301"/>
  <c r="AN301"/>
  <c r="AO301"/>
  <c r="AP301"/>
  <c r="AK302"/>
  <c r="AL302"/>
  <c r="AM302"/>
  <c r="AN302"/>
  <c r="AO302"/>
  <c r="AP302"/>
  <c r="AK303"/>
  <c r="AL303"/>
  <c r="AM303"/>
  <c r="AN303"/>
  <c r="AO303"/>
  <c r="AK304"/>
  <c r="AL304"/>
  <c r="AM304"/>
  <c r="AN304"/>
  <c r="AO304"/>
  <c r="AP304"/>
  <c r="AK305"/>
  <c r="AL305"/>
  <c r="AM305"/>
  <c r="AN305"/>
  <c r="AO305"/>
  <c r="AP305"/>
  <c r="AK306"/>
  <c r="AL306"/>
  <c r="AM306"/>
  <c r="AN306"/>
  <c r="AO306"/>
  <c r="AP306"/>
  <c r="AK307"/>
  <c r="AL307"/>
  <c r="AM307"/>
  <c r="AN307"/>
  <c r="AO307"/>
  <c r="AP307"/>
  <c r="AK308"/>
  <c r="AL308"/>
  <c r="AM308"/>
  <c r="AN308"/>
  <c r="AO308"/>
  <c r="AP308"/>
  <c r="AK309"/>
  <c r="AL309"/>
  <c r="AM309"/>
  <c r="AN309"/>
  <c r="AO309"/>
  <c r="AP309"/>
  <c r="AK310"/>
  <c r="AL310"/>
  <c r="AM310"/>
  <c r="AN310"/>
  <c r="AO310"/>
  <c r="AP310"/>
  <c r="AK311"/>
  <c r="AL311"/>
  <c r="AM311"/>
  <c r="AN311"/>
  <c r="AO311"/>
  <c r="AP311"/>
  <c r="AK312"/>
  <c r="AL312"/>
  <c r="AM312"/>
  <c r="AN312"/>
  <c r="AO312"/>
  <c r="AK313"/>
  <c r="AL313"/>
  <c r="AM313"/>
  <c r="AN313"/>
  <c r="AO313"/>
  <c r="AK314"/>
  <c r="AL314"/>
  <c r="AM314"/>
  <c r="AN314"/>
  <c r="AO314"/>
  <c r="AK315"/>
  <c r="AL315"/>
  <c r="AM315"/>
  <c r="AN315"/>
  <c r="AO315"/>
  <c r="AP315"/>
  <c r="AK316"/>
  <c r="AL316"/>
  <c r="AM316"/>
  <c r="AN316"/>
  <c r="AO316"/>
  <c r="AP316"/>
  <c r="AK317"/>
  <c r="AL317"/>
  <c r="AM317"/>
  <c r="AN317"/>
  <c r="AO317"/>
  <c r="AK318"/>
  <c r="AL318"/>
  <c r="AM318"/>
  <c r="AN318"/>
  <c r="AO318"/>
  <c r="AK319"/>
  <c r="AL319"/>
  <c r="AM319"/>
  <c r="AN319"/>
  <c r="AO319"/>
  <c r="AK320"/>
  <c r="AL320"/>
  <c r="AM320"/>
  <c r="AN320"/>
  <c r="AO320"/>
  <c r="AK321"/>
  <c r="AL321"/>
  <c r="AM321"/>
  <c r="AN321"/>
  <c r="AO321"/>
  <c r="AP321"/>
  <c r="AK322"/>
  <c r="AL322"/>
  <c r="AM322"/>
  <c r="AN322"/>
  <c r="AO322"/>
  <c r="AP322"/>
  <c r="AK323"/>
  <c r="AL323"/>
  <c r="AM323"/>
  <c r="AN323"/>
  <c r="AO323"/>
  <c r="AP323"/>
  <c r="AK324"/>
  <c r="AL324"/>
  <c r="AM324"/>
  <c r="AN324"/>
  <c r="AO324"/>
  <c r="AP324"/>
  <c r="AK325"/>
  <c r="AL325"/>
  <c r="AM325"/>
  <c r="AN325"/>
  <c r="AO325"/>
  <c r="AP325"/>
  <c r="AK326"/>
  <c r="AL326"/>
  <c r="AM326"/>
  <c r="AN326"/>
  <c r="AO326"/>
  <c r="AP326"/>
  <c r="AK327"/>
  <c r="AL327"/>
  <c r="AM327"/>
  <c r="AN327"/>
  <c r="AO327"/>
  <c r="AK328"/>
  <c r="AL328"/>
  <c r="AM328"/>
  <c r="AN328"/>
  <c r="AO328"/>
  <c r="AP328"/>
  <c r="AK329"/>
  <c r="AL329"/>
  <c r="AM329"/>
  <c r="AN329"/>
  <c r="AO329"/>
  <c r="AP329"/>
  <c r="AK330"/>
  <c r="AL330"/>
  <c r="AM330"/>
  <c r="AN330"/>
  <c r="AO330"/>
  <c r="AP330"/>
  <c r="AK331"/>
  <c r="AL331"/>
  <c r="AM331"/>
  <c r="AN331"/>
  <c r="AO331"/>
  <c r="AP331"/>
  <c r="AK332"/>
  <c r="AL332"/>
  <c r="AM332"/>
  <c r="AN332"/>
  <c r="AO332"/>
  <c r="AP332"/>
  <c r="AK333"/>
  <c r="AL333"/>
  <c r="AM333"/>
  <c r="AN333"/>
  <c r="AO333"/>
  <c r="AP333"/>
  <c r="AK334"/>
  <c r="AL334"/>
  <c r="AM334"/>
  <c r="AN334"/>
  <c r="AO334"/>
  <c r="AP334"/>
  <c r="AK335"/>
  <c r="AL335"/>
  <c r="AM335"/>
  <c r="AN335"/>
  <c r="AO335"/>
  <c r="AP335"/>
  <c r="AP336"/>
  <c r="AP287"/>
  <c r="AO287"/>
  <c r="AO337" s="1"/>
  <c r="AL287"/>
  <c r="AH337"/>
  <c r="AM287"/>
  <c r="AN287"/>
  <c r="AN337" s="1"/>
  <c r="AK287"/>
  <c r="AI313"/>
  <c r="AI327"/>
  <c r="AI319"/>
  <c r="AI318"/>
  <c r="AC312"/>
  <c r="AC318"/>
  <c r="AC317"/>
  <c r="AC327"/>
  <c r="L337"/>
  <c r="Q303"/>
  <c r="AG337"/>
  <c r="AF337"/>
  <c r="AE337"/>
  <c r="AI338" s="1"/>
  <c r="AD337"/>
  <c r="AB337"/>
  <c r="AA337"/>
  <c r="Z337"/>
  <c r="Y337"/>
  <c r="X337"/>
  <c r="V337"/>
  <c r="U337"/>
  <c r="T337"/>
  <c r="S337"/>
  <c r="R337"/>
  <c r="P337"/>
  <c r="O337"/>
  <c r="N337"/>
  <c r="M337"/>
  <c r="AH336"/>
  <c r="AG336"/>
  <c r="AN336" s="1"/>
  <c r="AF336"/>
  <c r="AE336"/>
  <c r="AB336"/>
  <c r="AA336"/>
  <c r="Z336"/>
  <c r="Y336"/>
  <c r="V336"/>
  <c r="T336"/>
  <c r="S336"/>
  <c r="P336"/>
  <c r="N336"/>
  <c r="M336"/>
  <c r="AJ327"/>
  <c r="W327"/>
  <c r="Q327"/>
  <c r="AI320"/>
  <c r="AC320"/>
  <c r="W320"/>
  <c r="Q320"/>
  <c r="AJ319"/>
  <c r="AC319"/>
  <c r="W319"/>
  <c r="Q319"/>
  <c r="W318"/>
  <c r="Q318"/>
  <c r="AJ317"/>
  <c r="AI317"/>
  <c r="AP317" s="1"/>
  <c r="W317"/>
  <c r="Q317"/>
  <c r="AJ314"/>
  <c r="AI314"/>
  <c r="AP314" s="1"/>
  <c r="AC314"/>
  <c r="W314"/>
  <c r="Q314"/>
  <c r="AJ313"/>
  <c r="AC313"/>
  <c r="W313"/>
  <c r="Q313"/>
  <c r="AJ312"/>
  <c r="W312"/>
  <c r="Q312"/>
  <c r="W303"/>
  <c r="AP303" s="1"/>
  <c r="AH277"/>
  <c r="AG277"/>
  <c r="AF277"/>
  <c r="AE277"/>
  <c r="AD277"/>
  <c r="AB277"/>
  <c r="AA277"/>
  <c r="Z277"/>
  <c r="Y277"/>
  <c r="X277"/>
  <c r="V277"/>
  <c r="U277"/>
  <c r="T277"/>
  <c r="S277"/>
  <c r="R277"/>
  <c r="P277"/>
  <c r="O277"/>
  <c r="N277"/>
  <c r="M277"/>
  <c r="L277"/>
  <c r="AI274"/>
  <c r="AC274"/>
  <c r="W274"/>
  <c r="Q274"/>
  <c r="AC273"/>
  <c r="AC272"/>
  <c r="AC271"/>
  <c r="Q271"/>
  <c r="AC270"/>
  <c r="AC269"/>
  <c r="AC268"/>
  <c r="AC267"/>
  <c r="AC266"/>
  <c r="AI265"/>
  <c r="AC265"/>
  <c r="W265"/>
  <c r="AI264"/>
  <c r="AC264"/>
  <c r="W264"/>
  <c r="AC263"/>
  <c r="AC262"/>
  <c r="AC261"/>
  <c r="AC260"/>
  <c r="AC259"/>
  <c r="AC258"/>
  <c r="AC257"/>
  <c r="AC256"/>
  <c r="AC255"/>
  <c r="AC254"/>
  <c r="W254"/>
  <c r="Q254"/>
  <c r="AC253"/>
  <c r="W253"/>
  <c r="Q253"/>
  <c r="AC252"/>
  <c r="W252"/>
  <c r="Q252"/>
  <c r="AC251"/>
  <c r="W251"/>
  <c r="Q251"/>
  <c r="AC250"/>
  <c r="W250"/>
  <c r="Q250"/>
  <c r="AC249"/>
  <c r="W249"/>
  <c r="Q249"/>
  <c r="AC248"/>
  <c r="W248"/>
  <c r="Q248"/>
  <c r="AC247"/>
  <c r="W247"/>
  <c r="Q247"/>
  <c r="AC246"/>
  <c r="W246"/>
  <c r="Q246"/>
  <c r="AC245"/>
  <c r="W245"/>
  <c r="Q245"/>
  <c r="AC244"/>
  <c r="W244"/>
  <c r="Q244"/>
  <c r="AC243"/>
  <c r="W243"/>
  <c r="Q243"/>
  <c r="AC242"/>
  <c r="W242"/>
  <c r="Q242"/>
  <c r="AC241"/>
  <c r="W241"/>
  <c r="Q241"/>
  <c r="AI240"/>
  <c r="AI277" s="1"/>
  <c r="AC240"/>
  <c r="W240"/>
  <c r="Q240"/>
  <c r="AC239"/>
  <c r="W239"/>
  <c r="Q239"/>
  <c r="AC238"/>
  <c r="W238"/>
  <c r="Q238"/>
  <c r="AC237"/>
  <c r="W237"/>
  <c r="Q237"/>
  <c r="AC236"/>
  <c r="W236"/>
  <c r="Q236"/>
  <c r="AC235"/>
  <c r="W235"/>
  <c r="Q235"/>
  <c r="AC234"/>
  <c r="W234"/>
  <c r="Q234"/>
  <c r="AC233"/>
  <c r="W233"/>
  <c r="Q233"/>
  <c r="AC232"/>
  <c r="W232"/>
  <c r="Q232"/>
  <c r="AC231"/>
  <c r="AC277" s="1"/>
  <c r="W231"/>
  <c r="Q231"/>
  <c r="W230"/>
  <c r="Q230"/>
  <c r="W229"/>
  <c r="Q229"/>
  <c r="W228"/>
  <c r="Q228"/>
  <c r="W227"/>
  <c r="Q227"/>
  <c r="W226"/>
  <c r="Q226"/>
  <c r="W225"/>
  <c r="Q225"/>
  <c r="W224"/>
  <c r="W277" s="1"/>
  <c r="Q224"/>
  <c r="W223"/>
  <c r="Q223"/>
  <c r="AH213"/>
  <c r="AG213"/>
  <c r="AF213"/>
  <c r="AE213"/>
  <c r="AD213"/>
  <c r="AB213"/>
  <c r="AA213"/>
  <c r="Z213"/>
  <c r="Y213"/>
  <c r="X213"/>
  <c r="V213"/>
  <c r="U213"/>
  <c r="T213"/>
  <c r="S213"/>
  <c r="P213"/>
  <c r="O213"/>
  <c r="N213"/>
  <c r="M213"/>
  <c r="L213"/>
  <c r="AI211"/>
  <c r="AC211"/>
  <c r="W211"/>
  <c r="Q211"/>
  <c r="AI210"/>
  <c r="W210"/>
  <c r="Q210"/>
  <c r="AI209"/>
  <c r="AI213" s="1"/>
  <c r="W209"/>
  <c r="Q209"/>
  <c r="AI208"/>
  <c r="Q208"/>
  <c r="AI207"/>
  <c r="AC207"/>
  <c r="W207"/>
  <c r="Q207"/>
  <c r="AI206"/>
  <c r="AC206"/>
  <c r="W206"/>
  <c r="Q206"/>
  <c r="AI205"/>
  <c r="AC205"/>
  <c r="W205"/>
  <c r="Q205"/>
  <c r="AI204"/>
  <c r="AC204"/>
  <c r="W204"/>
  <c r="Q204"/>
  <c r="AI203"/>
  <c r="Q203"/>
  <c r="AI202"/>
  <c r="AC202"/>
  <c r="W202"/>
  <c r="Q202"/>
  <c r="AI201"/>
  <c r="W201"/>
  <c r="R201"/>
  <c r="R213" s="1"/>
  <c r="Q201"/>
  <c r="AI200"/>
  <c r="AC200"/>
  <c r="AC213" s="1"/>
  <c r="W200"/>
  <c r="Q200"/>
  <c r="AI199"/>
  <c r="Q199"/>
  <c r="Q213" s="1"/>
  <c r="AH187"/>
  <c r="AG187"/>
  <c r="AF187"/>
  <c r="AE187"/>
  <c r="AD187"/>
  <c r="AB187"/>
  <c r="AA187"/>
  <c r="Z187"/>
  <c r="Y187"/>
  <c r="X187"/>
  <c r="V187"/>
  <c r="U187"/>
  <c r="T187"/>
  <c r="S187"/>
  <c r="R187"/>
  <c r="P187"/>
  <c r="O187"/>
  <c r="N187"/>
  <c r="M187"/>
  <c r="L187"/>
  <c r="AI182"/>
  <c r="AC182"/>
  <c r="W182"/>
  <c r="Q182"/>
  <c r="W181"/>
  <c r="AI179"/>
  <c r="AC179"/>
  <c r="W179"/>
  <c r="Q179"/>
  <c r="AI175"/>
  <c r="AC175"/>
  <c r="W175"/>
  <c r="Q175"/>
  <c r="AI168"/>
  <c r="AC168"/>
  <c r="W168"/>
  <c r="Q168"/>
  <c r="AI160"/>
  <c r="AC160"/>
  <c r="W160"/>
  <c r="Q160"/>
  <c r="AI157"/>
  <c r="AC157"/>
  <c r="W157"/>
  <c r="Q157"/>
  <c r="AI153"/>
  <c r="AC153"/>
  <c r="W153"/>
  <c r="Q153"/>
  <c r="AI149"/>
  <c r="AC149"/>
  <c r="W149"/>
  <c r="Q149"/>
  <c r="W148"/>
  <c r="W147"/>
  <c r="W146"/>
  <c r="AI145"/>
  <c r="AC145"/>
  <c r="W145"/>
  <c r="Q145"/>
  <c r="W144"/>
  <c r="W143"/>
  <c r="W142"/>
  <c r="AI141"/>
  <c r="AI187" s="1"/>
  <c r="AC141"/>
  <c r="W141"/>
  <c r="W187" s="1"/>
  <c r="Q141"/>
  <c r="Q187"/>
  <c r="AH133"/>
  <c r="AG133"/>
  <c r="AF133"/>
  <c r="AE133"/>
  <c r="AD133"/>
  <c r="AB133"/>
  <c r="AA133"/>
  <c r="Z133"/>
  <c r="Y133"/>
  <c r="X133"/>
  <c r="W133"/>
  <c r="V133"/>
  <c r="U133"/>
  <c r="T133"/>
  <c r="S133"/>
  <c r="R133"/>
  <c r="Q133"/>
  <c r="P133"/>
  <c r="O133"/>
  <c r="N133"/>
  <c r="M133"/>
  <c r="L133"/>
  <c r="AC132"/>
  <c r="W132"/>
  <c r="Q132"/>
  <c r="AI131"/>
  <c r="AC131"/>
  <c r="AC133"/>
  <c r="AI130"/>
  <c r="AI129"/>
  <c r="AI128"/>
  <c r="AI127"/>
  <c r="AI123"/>
  <c r="AI122"/>
  <c r="AI121"/>
  <c r="AI120"/>
  <c r="AI119"/>
  <c r="AI118"/>
  <c r="AI117"/>
  <c r="AI116"/>
  <c r="AI133" s="1"/>
  <c r="AH93"/>
  <c r="AG93"/>
  <c r="AF93"/>
  <c r="AE93"/>
  <c r="AD93"/>
  <c r="AB93"/>
  <c r="AA93"/>
  <c r="Z93"/>
  <c r="Y93"/>
  <c r="X93"/>
  <c r="V93"/>
  <c r="U93"/>
  <c r="T93"/>
  <c r="S93"/>
  <c r="R93"/>
  <c r="P93"/>
  <c r="O93"/>
  <c r="N93"/>
  <c r="M93"/>
  <c r="L93"/>
  <c r="AI86"/>
  <c r="AC86"/>
  <c r="W86"/>
  <c r="Q86"/>
  <c r="AI83"/>
  <c r="AC83"/>
  <c r="W83"/>
  <c r="Q83"/>
  <c r="AI82"/>
  <c r="AC82"/>
  <c r="W82"/>
  <c r="Q82"/>
  <c r="AI81"/>
  <c r="AC81"/>
  <c r="W81"/>
  <c r="Q81"/>
  <c r="AI80"/>
  <c r="AC80"/>
  <c r="W80"/>
  <c r="Q80"/>
  <c r="AI79"/>
  <c r="AI93"/>
  <c r="AC79"/>
  <c r="W79"/>
  <c r="W93" s="1"/>
  <c r="Q79"/>
  <c r="Q74"/>
  <c r="Q93" s="1"/>
  <c r="AJ67"/>
  <c r="AH66"/>
  <c r="AG66"/>
  <c r="AF66"/>
  <c r="AE66"/>
  <c r="AD66"/>
  <c r="AB66"/>
  <c r="AA66"/>
  <c r="Z66"/>
  <c r="Y66"/>
  <c r="X66"/>
  <c r="AC67" s="1"/>
  <c r="V66"/>
  <c r="U66"/>
  <c r="T66"/>
  <c r="S66"/>
  <c r="R66"/>
  <c r="P66"/>
  <c r="O66"/>
  <c r="N66"/>
  <c r="M66"/>
  <c r="L66"/>
  <c r="Q67" s="1"/>
  <c r="AK64"/>
  <c r="AI64"/>
  <c r="AI63"/>
  <c r="AI62"/>
  <c r="AI61"/>
  <c r="AI60"/>
  <c r="AI59"/>
  <c r="AI58"/>
  <c r="AI57"/>
  <c r="AI56"/>
  <c r="AI55"/>
  <c r="AI54"/>
  <c r="AI53"/>
  <c r="AC53"/>
  <c r="W53"/>
  <c r="Q53"/>
  <c r="AI52"/>
  <c r="AI51"/>
  <c r="AC51"/>
  <c r="W51"/>
  <c r="W66" s="1"/>
  <c r="Q51"/>
  <c r="AI50"/>
  <c r="AI49"/>
  <c r="AI48"/>
  <c r="AI47"/>
  <c r="AI46"/>
  <c r="AI45"/>
  <c r="AI44"/>
  <c r="AI43"/>
  <c r="AI42"/>
  <c r="AI41"/>
  <c r="AI40"/>
  <c r="AI39"/>
  <c r="Q39"/>
  <c r="AI38"/>
  <c r="AI37"/>
  <c r="AI66" s="1"/>
  <c r="Q36"/>
  <c r="Q66" s="1"/>
  <c r="AH30"/>
  <c r="Q351" s="1"/>
  <c r="AG30"/>
  <c r="P351" s="1"/>
  <c r="AF30"/>
  <c r="O351" s="1"/>
  <c r="AE30"/>
  <c r="N351" s="1"/>
  <c r="AD30"/>
  <c r="M351" s="1"/>
  <c r="AB30"/>
  <c r="Q350" s="1"/>
  <c r="AA30"/>
  <c r="P350" s="1"/>
  <c r="Z30"/>
  <c r="O350" s="1"/>
  <c r="Y30"/>
  <c r="N350" s="1"/>
  <c r="V30"/>
  <c r="Q349" s="1"/>
  <c r="U30"/>
  <c r="P349" s="1"/>
  <c r="T30"/>
  <c r="O349" s="1"/>
  <c r="S30"/>
  <c r="N349" s="1"/>
  <c r="P30"/>
  <c r="Q348" s="1"/>
  <c r="Q352" s="1"/>
  <c r="O30"/>
  <c r="P348" s="1"/>
  <c r="P352" s="1"/>
  <c r="N30"/>
  <c r="O348" s="1"/>
  <c r="M30"/>
  <c r="N348" s="1"/>
  <c r="AK28"/>
  <c r="AI27"/>
  <c r="AC27"/>
  <c r="R27"/>
  <c r="W27" s="1"/>
  <c r="Q27"/>
  <c r="AI26"/>
  <c r="AC26"/>
  <c r="W26"/>
  <c r="Q26"/>
  <c r="AI25"/>
  <c r="AC25"/>
  <c r="W25"/>
  <c r="Q25"/>
  <c r="AI24"/>
  <c r="AC24"/>
  <c r="W24"/>
  <c r="Q24"/>
  <c r="AI23"/>
  <c r="AC23"/>
  <c r="W23"/>
  <c r="Q23"/>
  <c r="AI22"/>
  <c r="AC22"/>
  <c r="W22"/>
  <c r="Q22"/>
  <c r="AI21"/>
  <c r="AC21"/>
  <c r="W21"/>
  <c r="Q21"/>
  <c r="AI20"/>
  <c r="AC20"/>
  <c r="W20"/>
  <c r="Q20"/>
  <c r="AI19"/>
  <c r="AC19"/>
  <c r="W19"/>
  <c r="Q19"/>
  <c r="AI18"/>
  <c r="X18"/>
  <c r="X30" s="1"/>
  <c r="W18"/>
  <c r="Q18"/>
  <c r="AI17"/>
  <c r="AC17"/>
  <c r="W17"/>
  <c r="Q17"/>
  <c r="AI16"/>
  <c r="AC16"/>
  <c r="W16"/>
  <c r="Q16"/>
  <c r="AI15"/>
  <c r="AC15"/>
  <c r="W15"/>
  <c r="Q15"/>
  <c r="AI14"/>
  <c r="AC14"/>
  <c r="W14"/>
  <c r="Q14"/>
  <c r="AI13"/>
  <c r="AC13"/>
  <c r="W13"/>
  <c r="Q13"/>
  <c r="AI12"/>
  <c r="AC12"/>
  <c r="W12"/>
  <c r="Q12"/>
  <c r="AI11"/>
  <c r="AC11"/>
  <c r="W11"/>
  <c r="Q11"/>
  <c r="AI10"/>
  <c r="AC10"/>
  <c r="W10"/>
  <c r="Q10"/>
  <c r="AI9"/>
  <c r="AI30" s="1"/>
  <c r="AC9"/>
  <c r="W9"/>
  <c r="W30" s="1"/>
  <c r="Q9"/>
  <c r="Q30" s="1"/>
  <c r="W337"/>
  <c r="AI337"/>
  <c r="AA344"/>
  <c r="R30"/>
  <c r="N417" i="19"/>
  <c r="M417"/>
  <c r="L417"/>
  <c r="N416"/>
  <c r="M416"/>
  <c r="L416"/>
  <c r="K416"/>
  <c r="J416"/>
  <c r="N415"/>
  <c r="M415"/>
  <c r="L415"/>
  <c r="K415"/>
  <c r="J415"/>
  <c r="N414"/>
  <c r="M414"/>
  <c r="L414"/>
  <c r="K414"/>
  <c r="J414"/>
  <c r="N413"/>
  <c r="M413"/>
  <c r="L413"/>
  <c r="K413"/>
  <c r="J413"/>
  <c r="N412"/>
  <c r="M412"/>
  <c r="L412"/>
  <c r="K412"/>
  <c r="J412"/>
  <c r="N411"/>
  <c r="M411"/>
  <c r="L411"/>
  <c r="K411"/>
  <c r="J411"/>
  <c r="N410"/>
  <c r="M410"/>
  <c r="L410"/>
  <c r="K410"/>
  <c r="J410"/>
  <c r="N409"/>
  <c r="M409"/>
  <c r="L409"/>
  <c r="K409"/>
  <c r="J409"/>
  <c r="N408"/>
  <c r="M408"/>
  <c r="L408"/>
  <c r="K408"/>
  <c r="J408"/>
  <c r="N407"/>
  <c r="M407"/>
  <c r="L407"/>
  <c r="K407"/>
  <c r="J407"/>
  <c r="N406"/>
  <c r="M406"/>
  <c r="L406"/>
  <c r="K406"/>
  <c r="J406"/>
  <c r="N405"/>
  <c r="M405"/>
  <c r="L405"/>
  <c r="K405"/>
  <c r="J405"/>
  <c r="N404"/>
  <c r="M404"/>
  <c r="L404"/>
  <c r="K404"/>
  <c r="N403"/>
  <c r="M403"/>
  <c r="L403"/>
  <c r="K403"/>
  <c r="J403"/>
  <c r="N402"/>
  <c r="M402"/>
  <c r="L402"/>
  <c r="K402"/>
  <c r="J402"/>
  <c r="N401"/>
  <c r="M401"/>
  <c r="L401"/>
  <c r="K401"/>
  <c r="J401"/>
  <c r="I419"/>
  <c r="I418"/>
  <c r="I417"/>
  <c r="I416"/>
  <c r="I415"/>
  <c r="I414"/>
  <c r="I413"/>
  <c r="I412"/>
  <c r="I411"/>
  <c r="I410"/>
  <c r="I409"/>
  <c r="I408"/>
  <c r="I407"/>
  <c r="I406"/>
  <c r="I405"/>
  <c r="I404"/>
  <c r="I403"/>
  <c r="I402"/>
  <c r="I401"/>
  <c r="I400"/>
  <c r="I399"/>
  <c r="I398"/>
  <c r="N391"/>
  <c r="N390"/>
  <c r="N389"/>
  <c r="N388"/>
  <c r="N387"/>
  <c r="N386"/>
  <c r="N385"/>
  <c r="N384"/>
  <c r="N383"/>
  <c r="N382"/>
  <c r="N381"/>
  <c r="N380"/>
  <c r="N379"/>
  <c r="N378"/>
  <c r="N377"/>
  <c r="N376"/>
  <c r="N375"/>
  <c r="M391"/>
  <c r="M390"/>
  <c r="M389"/>
  <c r="M388"/>
  <c r="M387"/>
  <c r="M386"/>
  <c r="M385"/>
  <c r="M384"/>
  <c r="M383"/>
  <c r="M382"/>
  <c r="M381"/>
  <c r="M380"/>
  <c r="M379"/>
  <c r="M378"/>
  <c r="M377"/>
  <c r="M376"/>
  <c r="M375"/>
  <c r="L391"/>
  <c r="L390"/>
  <c r="L389"/>
  <c r="L388"/>
  <c r="L387"/>
  <c r="L386"/>
  <c r="L385"/>
  <c r="L384"/>
  <c r="L383"/>
  <c r="L382"/>
  <c r="L381"/>
  <c r="L380"/>
  <c r="L379"/>
  <c r="L378"/>
  <c r="L377"/>
  <c r="L376"/>
  <c r="L375"/>
  <c r="K389"/>
  <c r="K388"/>
  <c r="K387"/>
  <c r="K386"/>
  <c r="K385"/>
  <c r="K384"/>
  <c r="K383"/>
  <c r="K382"/>
  <c r="K381"/>
  <c r="K380"/>
  <c r="K379"/>
  <c r="K378"/>
  <c r="K377"/>
  <c r="K376"/>
  <c r="K375"/>
  <c r="K390"/>
  <c r="AJ75"/>
  <c r="AJ76"/>
  <c r="AJ77"/>
  <c r="AJ78"/>
  <c r="AJ84"/>
  <c r="AJ85"/>
  <c r="AJ87"/>
  <c r="AJ88"/>
  <c r="AJ89"/>
  <c r="AJ90"/>
  <c r="AJ91"/>
  <c r="AJ92"/>
  <c r="AJ275"/>
  <c r="AH287"/>
  <c r="AH288"/>
  <c r="AH289"/>
  <c r="AH290"/>
  <c r="AH291"/>
  <c r="AH292"/>
  <c r="AH293"/>
  <c r="AH294"/>
  <c r="AH295"/>
  <c r="AH296"/>
  <c r="AH297"/>
  <c r="AH298"/>
  <c r="AH299"/>
  <c r="AH300"/>
  <c r="AH301"/>
  <c r="AH302"/>
  <c r="AH304"/>
  <c r="AH305"/>
  <c r="AH306"/>
  <c r="AH307"/>
  <c r="AH308"/>
  <c r="AH309"/>
  <c r="AH310"/>
  <c r="AH311"/>
  <c r="AH315"/>
  <c r="AH316"/>
  <c r="AH321"/>
  <c r="AH322"/>
  <c r="AH323"/>
  <c r="AH324"/>
  <c r="AH325"/>
  <c r="AH326"/>
  <c r="AH328"/>
  <c r="AH329"/>
  <c r="AH330"/>
  <c r="AH331"/>
  <c r="AH332"/>
  <c r="AH333"/>
  <c r="AH334"/>
  <c r="AH335"/>
  <c r="AH286"/>
  <c r="AJ150"/>
  <c r="AJ151"/>
  <c r="AJ152"/>
  <c r="AJ154"/>
  <c r="AJ155"/>
  <c r="AJ156"/>
  <c r="AJ158"/>
  <c r="AJ159"/>
  <c r="AJ161"/>
  <c r="AJ162"/>
  <c r="AJ163"/>
  <c r="AJ164"/>
  <c r="AJ165"/>
  <c r="AJ166"/>
  <c r="AJ167"/>
  <c r="AJ169"/>
  <c r="AJ170"/>
  <c r="AJ171"/>
  <c r="AJ172"/>
  <c r="AJ173"/>
  <c r="AJ174"/>
  <c r="AJ176"/>
  <c r="AJ177"/>
  <c r="AJ178"/>
  <c r="AJ180"/>
  <c r="AJ183"/>
  <c r="AJ184"/>
  <c r="AJ185"/>
  <c r="AJ101"/>
  <c r="AJ102"/>
  <c r="AJ103"/>
  <c r="AJ104"/>
  <c r="AJ105"/>
  <c r="AJ106"/>
  <c r="AJ107"/>
  <c r="AJ108"/>
  <c r="AJ109"/>
  <c r="AJ110"/>
  <c r="AJ111"/>
  <c r="AJ112"/>
  <c r="AJ113"/>
  <c r="AJ114"/>
  <c r="AJ115"/>
  <c r="AJ100"/>
  <c r="J375"/>
  <c r="J390"/>
  <c r="J389"/>
  <c r="J388"/>
  <c r="J387"/>
  <c r="J386"/>
  <c r="J385"/>
  <c r="J384"/>
  <c r="J383"/>
  <c r="J382"/>
  <c r="J381"/>
  <c r="J380"/>
  <c r="J379"/>
  <c r="J377"/>
  <c r="J376"/>
  <c r="I393"/>
  <c r="I392"/>
  <c r="I374"/>
  <c r="I373"/>
  <c r="I372"/>
  <c r="I381"/>
  <c r="I391"/>
  <c r="I390"/>
  <c r="I389"/>
  <c r="I388"/>
  <c r="I387"/>
  <c r="I386"/>
  <c r="I385"/>
  <c r="I384"/>
  <c r="I383"/>
  <c r="I380"/>
  <c r="I379"/>
  <c r="I378"/>
  <c r="I377"/>
  <c r="I376"/>
  <c r="I382"/>
  <c r="I375"/>
  <c r="P358"/>
  <c r="O360"/>
  <c r="O359"/>
  <c r="Q356"/>
  <c r="N360"/>
  <c r="N359"/>
  <c r="N358"/>
  <c r="M359"/>
  <c r="M360"/>
  <c r="L66"/>
  <c r="M66"/>
  <c r="N66"/>
  <c r="O66"/>
  <c r="P66"/>
  <c r="R66"/>
  <c r="S66"/>
  <c r="W67" s="1"/>
  <c r="T66"/>
  <c r="U66"/>
  <c r="V66"/>
  <c r="X66"/>
  <c r="Y66"/>
  <c r="Z66"/>
  <c r="AA66"/>
  <c r="AB66"/>
  <c r="AD66"/>
  <c r="AE66"/>
  <c r="AF66"/>
  <c r="AG66"/>
  <c r="AH66"/>
  <c r="AJ67"/>
  <c r="J337"/>
  <c r="AI337"/>
  <c r="AF337"/>
  <c r="AE337"/>
  <c r="AD337"/>
  <c r="AC337"/>
  <c r="AB337"/>
  <c r="Z337"/>
  <c r="Y337"/>
  <c r="X337"/>
  <c r="W337"/>
  <c r="V337"/>
  <c r="T337"/>
  <c r="Q344" s="1"/>
  <c r="S337"/>
  <c r="R337"/>
  <c r="P337"/>
  <c r="N337"/>
  <c r="M337"/>
  <c r="L337"/>
  <c r="K337"/>
  <c r="AF336"/>
  <c r="AE336"/>
  <c r="AD336"/>
  <c r="AC336"/>
  <c r="Z336"/>
  <c r="Y336"/>
  <c r="X336"/>
  <c r="W336"/>
  <c r="T336"/>
  <c r="R336"/>
  <c r="N336"/>
  <c r="L336"/>
  <c r="K336"/>
  <c r="AG327"/>
  <c r="AA327"/>
  <c r="U327"/>
  <c r="O327"/>
  <c r="AH327" s="1"/>
  <c r="AG320"/>
  <c r="AA320"/>
  <c r="U320"/>
  <c r="O320"/>
  <c r="AG319"/>
  <c r="AA319"/>
  <c r="U319"/>
  <c r="O319"/>
  <c r="AH319" s="1"/>
  <c r="AG318"/>
  <c r="AA318"/>
  <c r="U318"/>
  <c r="O318"/>
  <c r="AG317"/>
  <c r="AA317"/>
  <c r="U317"/>
  <c r="O317"/>
  <c r="AG314"/>
  <c r="AA314"/>
  <c r="U314"/>
  <c r="O314"/>
  <c r="AG313"/>
  <c r="AA313"/>
  <c r="U313"/>
  <c r="O313"/>
  <c r="AH313" s="1"/>
  <c r="AA312"/>
  <c r="U312"/>
  <c r="AH312" s="1"/>
  <c r="O312"/>
  <c r="O303"/>
  <c r="AH277"/>
  <c r="AG277"/>
  <c r="AF277"/>
  <c r="AE277"/>
  <c r="AD277"/>
  <c r="AB277"/>
  <c r="AA277"/>
  <c r="Z277"/>
  <c r="Y277"/>
  <c r="X277"/>
  <c r="V277"/>
  <c r="U277"/>
  <c r="T277"/>
  <c r="S277"/>
  <c r="R277"/>
  <c r="P277"/>
  <c r="O277"/>
  <c r="N277"/>
  <c r="M277"/>
  <c r="L277"/>
  <c r="AI274"/>
  <c r="AC274"/>
  <c r="AJ274" s="1"/>
  <c r="W274"/>
  <c r="Q274"/>
  <c r="AC273"/>
  <c r="AJ273" s="1"/>
  <c r="AC272"/>
  <c r="AJ272" s="1"/>
  <c r="AC271"/>
  <c r="O358" s="1"/>
  <c r="Q271"/>
  <c r="AC270"/>
  <c r="AJ270" s="1"/>
  <c r="AC269"/>
  <c r="AJ269" s="1"/>
  <c r="AC268"/>
  <c r="AJ268" s="1"/>
  <c r="AC267"/>
  <c r="AJ267" s="1"/>
  <c r="AC266"/>
  <c r="AJ266" s="1"/>
  <c r="AI265"/>
  <c r="AC265"/>
  <c r="L399" s="1"/>
  <c r="W265"/>
  <c r="AI264"/>
  <c r="AC264"/>
  <c r="W264"/>
  <c r="AJ264" s="1"/>
  <c r="AC263"/>
  <c r="AJ263" s="1"/>
  <c r="AC262"/>
  <c r="AJ262"/>
  <c r="AC261"/>
  <c r="AJ261" s="1"/>
  <c r="AC260"/>
  <c r="AJ260"/>
  <c r="AC259"/>
  <c r="AJ259" s="1"/>
  <c r="AC258"/>
  <c r="AJ258" s="1"/>
  <c r="AC257"/>
  <c r="AJ257" s="1"/>
  <c r="AC256"/>
  <c r="AJ256" s="1"/>
  <c r="AC255"/>
  <c r="AJ255" s="1"/>
  <c r="AC254"/>
  <c r="W254"/>
  <c r="Q254"/>
  <c r="AC253"/>
  <c r="W253"/>
  <c r="Q253"/>
  <c r="AJ253" s="1"/>
  <c r="AC252"/>
  <c r="W252"/>
  <c r="Q252"/>
  <c r="J374" s="1"/>
  <c r="AC251"/>
  <c r="L400" s="1"/>
  <c r="W251"/>
  <c r="Q251"/>
  <c r="AC250"/>
  <c r="W250"/>
  <c r="Q250"/>
  <c r="AC249"/>
  <c r="W249"/>
  <c r="Q249"/>
  <c r="AC248"/>
  <c r="W248"/>
  <c r="Q248"/>
  <c r="AC247"/>
  <c r="W247"/>
  <c r="Q247"/>
  <c r="AC246"/>
  <c r="W246"/>
  <c r="Q246"/>
  <c r="AJ246" s="1"/>
  <c r="AC245"/>
  <c r="W245"/>
  <c r="AJ245" s="1"/>
  <c r="Q245"/>
  <c r="AC244"/>
  <c r="W244"/>
  <c r="Q244"/>
  <c r="AC243"/>
  <c r="W243"/>
  <c r="Q243"/>
  <c r="AC242"/>
  <c r="W242"/>
  <c r="Q242"/>
  <c r="AC241"/>
  <c r="W241"/>
  <c r="Q241"/>
  <c r="AI240"/>
  <c r="AC240"/>
  <c r="W240"/>
  <c r="Q240"/>
  <c r="AC239"/>
  <c r="W239"/>
  <c r="Q239"/>
  <c r="AJ239" s="1"/>
  <c r="AC238"/>
  <c r="W238"/>
  <c r="Q238"/>
  <c r="AC237"/>
  <c r="AJ237" s="1"/>
  <c r="W237"/>
  <c r="Q237"/>
  <c r="AC236"/>
  <c r="W236"/>
  <c r="Q236"/>
  <c r="AC235"/>
  <c r="W235"/>
  <c r="Q235"/>
  <c r="AJ235" s="1"/>
  <c r="AC234"/>
  <c r="W234"/>
  <c r="Q234"/>
  <c r="AC233"/>
  <c r="AJ233" s="1"/>
  <c r="W233"/>
  <c r="Q233"/>
  <c r="AC232"/>
  <c r="AJ232" s="1"/>
  <c r="W232"/>
  <c r="Q232"/>
  <c r="AC231"/>
  <c r="W231"/>
  <c r="Q231"/>
  <c r="W230"/>
  <c r="Q230"/>
  <c r="AJ230" s="1"/>
  <c r="W229"/>
  <c r="AJ229" s="1"/>
  <c r="Q229"/>
  <c r="W228"/>
  <c r="Q228"/>
  <c r="AJ228" s="1"/>
  <c r="W227"/>
  <c r="Q227"/>
  <c r="W226"/>
  <c r="Q226"/>
  <c r="AJ226"/>
  <c r="W225"/>
  <c r="Q225"/>
  <c r="W224"/>
  <c r="Q224"/>
  <c r="AJ224" s="1"/>
  <c r="W223"/>
  <c r="Q223"/>
  <c r="AH213"/>
  <c r="AG213"/>
  <c r="AF213"/>
  <c r="AE213"/>
  <c r="AD213"/>
  <c r="AB213"/>
  <c r="AA213"/>
  <c r="Z213"/>
  <c r="Y213"/>
  <c r="X213"/>
  <c r="V213"/>
  <c r="U213"/>
  <c r="T213"/>
  <c r="S213"/>
  <c r="P213"/>
  <c r="O213"/>
  <c r="N213"/>
  <c r="M213"/>
  <c r="L213"/>
  <c r="AI211"/>
  <c r="AC211"/>
  <c r="W211"/>
  <c r="Q211"/>
  <c r="AI210"/>
  <c r="W210"/>
  <c r="N354" s="1"/>
  <c r="Q210"/>
  <c r="AI209"/>
  <c r="W209"/>
  <c r="Q209"/>
  <c r="AJ209" s="1"/>
  <c r="AI208"/>
  <c r="Q208"/>
  <c r="AI207"/>
  <c r="AC207"/>
  <c r="AJ207" s="1"/>
  <c r="W207"/>
  <c r="Q207"/>
  <c r="AI206"/>
  <c r="AC206"/>
  <c r="AJ206" s="1"/>
  <c r="W206"/>
  <c r="Q206"/>
  <c r="AI205"/>
  <c r="AC205"/>
  <c r="AJ205" s="1"/>
  <c r="W205"/>
  <c r="Q205"/>
  <c r="AI204"/>
  <c r="AC204"/>
  <c r="AJ204" s="1"/>
  <c r="W204"/>
  <c r="Q204"/>
  <c r="AI203"/>
  <c r="Q203"/>
  <c r="AJ203" s="1"/>
  <c r="AI202"/>
  <c r="AC202"/>
  <c r="W202"/>
  <c r="Q202"/>
  <c r="AJ202" s="1"/>
  <c r="AI201"/>
  <c r="W201"/>
  <c r="R201"/>
  <c r="R213" s="1"/>
  <c r="Q201"/>
  <c r="AJ201" s="1"/>
  <c r="AI200"/>
  <c r="AC200"/>
  <c r="W200"/>
  <c r="Q200"/>
  <c r="AI199"/>
  <c r="Q199"/>
  <c r="AH187"/>
  <c r="AG187"/>
  <c r="AF187"/>
  <c r="AE187"/>
  <c r="AD187"/>
  <c r="AB187"/>
  <c r="AA187"/>
  <c r="Z187"/>
  <c r="Y187"/>
  <c r="X187"/>
  <c r="V187"/>
  <c r="U187"/>
  <c r="T187"/>
  <c r="S187"/>
  <c r="R187"/>
  <c r="P187"/>
  <c r="O187"/>
  <c r="N187"/>
  <c r="M187"/>
  <c r="L187"/>
  <c r="AI182"/>
  <c r="AC182"/>
  <c r="AJ182" s="1"/>
  <c r="W182"/>
  <c r="Q182"/>
  <c r="W181"/>
  <c r="AJ181"/>
  <c r="AI179"/>
  <c r="AC179"/>
  <c r="W179"/>
  <c r="Q179"/>
  <c r="AJ179" s="1"/>
  <c r="AI175"/>
  <c r="AC175"/>
  <c r="W175"/>
  <c r="Q175"/>
  <c r="AJ175" s="1"/>
  <c r="AI168"/>
  <c r="AC168"/>
  <c r="W168"/>
  <c r="Q168"/>
  <c r="AJ168" s="1"/>
  <c r="AI160"/>
  <c r="AC160"/>
  <c r="W160"/>
  <c r="Q160"/>
  <c r="AJ160" s="1"/>
  <c r="AI157"/>
  <c r="AC157"/>
  <c r="W157"/>
  <c r="Q157"/>
  <c r="AJ157" s="1"/>
  <c r="AI153"/>
  <c r="AC153"/>
  <c r="W153"/>
  <c r="Q153"/>
  <c r="AJ153" s="1"/>
  <c r="AI149"/>
  <c r="AC149"/>
  <c r="W149"/>
  <c r="Q149"/>
  <c r="AJ149" s="1"/>
  <c r="W148"/>
  <c r="AJ148" s="1"/>
  <c r="W147"/>
  <c r="AJ147"/>
  <c r="W146"/>
  <c r="AJ146" s="1"/>
  <c r="AI145"/>
  <c r="AC145"/>
  <c r="W145"/>
  <c r="Q145"/>
  <c r="W144"/>
  <c r="AJ144" s="1"/>
  <c r="W143"/>
  <c r="AJ143" s="1"/>
  <c r="W142"/>
  <c r="AJ142" s="1"/>
  <c r="AI141"/>
  <c r="AC141"/>
  <c r="W141"/>
  <c r="W187" s="1"/>
  <c r="Q141"/>
  <c r="AH133"/>
  <c r="AG133"/>
  <c r="AF133"/>
  <c r="O346" s="1"/>
  <c r="AE133"/>
  <c r="AD133"/>
  <c r="AB133"/>
  <c r="AA133"/>
  <c r="Z133"/>
  <c r="Y133"/>
  <c r="X133"/>
  <c r="W133"/>
  <c r="V133"/>
  <c r="U133"/>
  <c r="T133"/>
  <c r="S133"/>
  <c r="R133"/>
  <c r="Q133"/>
  <c r="P133"/>
  <c r="O133"/>
  <c r="N133"/>
  <c r="M133"/>
  <c r="L133"/>
  <c r="AC132"/>
  <c r="W132"/>
  <c r="Q132"/>
  <c r="AI131"/>
  <c r="AC131"/>
  <c r="AI130"/>
  <c r="AJ130"/>
  <c r="AI129"/>
  <c r="AJ129" s="1"/>
  <c r="AI128"/>
  <c r="AJ128" s="1"/>
  <c r="AI127"/>
  <c r="AJ127" s="1"/>
  <c r="AI126"/>
  <c r="AJ126" s="1"/>
  <c r="AI125"/>
  <c r="AJ125" s="1"/>
  <c r="AI124"/>
  <c r="AJ124"/>
  <c r="AI123"/>
  <c r="AJ123" s="1"/>
  <c r="AI122"/>
  <c r="AJ122"/>
  <c r="AI121"/>
  <c r="AJ121" s="1"/>
  <c r="AI120"/>
  <c r="AJ120" s="1"/>
  <c r="AI119"/>
  <c r="AJ119" s="1"/>
  <c r="AI118"/>
  <c r="AJ118" s="1"/>
  <c r="AI117"/>
  <c r="AJ117" s="1"/>
  <c r="AI116"/>
  <c r="AJ116" s="1"/>
  <c r="AH93"/>
  <c r="Q346" s="1"/>
  <c r="AG93"/>
  <c r="AF93"/>
  <c r="AE93"/>
  <c r="AD93"/>
  <c r="M346" s="1"/>
  <c r="AB93"/>
  <c r="AA93"/>
  <c r="Z93"/>
  <c r="Y93"/>
  <c r="N345" s="1"/>
  <c r="X93"/>
  <c r="V93"/>
  <c r="U93"/>
  <c r="T93"/>
  <c r="S93"/>
  <c r="R93"/>
  <c r="M344" s="1"/>
  <c r="P93"/>
  <c r="O93"/>
  <c r="N93"/>
  <c r="M93"/>
  <c r="N343" s="1"/>
  <c r="L93"/>
  <c r="AI86"/>
  <c r="AC86"/>
  <c r="W86"/>
  <c r="Q86"/>
  <c r="AI83"/>
  <c r="AC83"/>
  <c r="W83"/>
  <c r="Q83"/>
  <c r="AI82"/>
  <c r="AC82"/>
  <c r="W82"/>
  <c r="Q82"/>
  <c r="AI81"/>
  <c r="AC81"/>
  <c r="W81"/>
  <c r="Q81"/>
  <c r="AJ81" s="1"/>
  <c r="AI80"/>
  <c r="AC80"/>
  <c r="W80"/>
  <c r="Q80"/>
  <c r="AI79"/>
  <c r="AC79"/>
  <c r="AC93" s="1"/>
  <c r="W79"/>
  <c r="Q79"/>
  <c r="M354" s="1"/>
  <c r="Q74"/>
  <c r="AJ74" s="1"/>
  <c r="AK64"/>
  <c r="AI64"/>
  <c r="P359" s="1"/>
  <c r="AI63"/>
  <c r="AJ63" s="1"/>
  <c r="AI62"/>
  <c r="AJ62" s="1"/>
  <c r="AI61"/>
  <c r="AJ61" s="1"/>
  <c r="AI60"/>
  <c r="AJ60" s="1"/>
  <c r="AI59"/>
  <c r="AJ59"/>
  <c r="AI58"/>
  <c r="AJ58" s="1"/>
  <c r="AI57"/>
  <c r="AJ57"/>
  <c r="AI56"/>
  <c r="AJ56" s="1"/>
  <c r="AI55"/>
  <c r="AJ55" s="1"/>
  <c r="AI54"/>
  <c r="AJ54" s="1"/>
  <c r="AI53"/>
  <c r="M419" s="1"/>
  <c r="AC53"/>
  <c r="W53"/>
  <c r="Q53"/>
  <c r="AI52"/>
  <c r="AJ52" s="1"/>
  <c r="AI51"/>
  <c r="AC51"/>
  <c r="AC66" s="1"/>
  <c r="W51"/>
  <c r="K393" s="1"/>
  <c r="Q51"/>
  <c r="AI50"/>
  <c r="AJ50" s="1"/>
  <c r="AI49"/>
  <c r="AJ49"/>
  <c r="AI48"/>
  <c r="AJ48" s="1"/>
  <c r="AI47"/>
  <c r="AJ47"/>
  <c r="AI46"/>
  <c r="AJ46" s="1"/>
  <c r="AI45"/>
  <c r="AJ45" s="1"/>
  <c r="AI44"/>
  <c r="AJ44" s="1"/>
  <c r="AI43"/>
  <c r="AJ43" s="1"/>
  <c r="AI42"/>
  <c r="AJ42" s="1"/>
  <c r="AI41"/>
  <c r="AJ41"/>
  <c r="AI40"/>
  <c r="AJ40" s="1"/>
  <c r="AI39"/>
  <c r="Q39"/>
  <c r="AJ39" s="1"/>
  <c r="AI38"/>
  <c r="AJ38" s="1"/>
  <c r="AI37"/>
  <c r="AJ37" s="1"/>
  <c r="Q36"/>
  <c r="AJ36" s="1"/>
  <c r="AI27"/>
  <c r="AC27"/>
  <c r="R27"/>
  <c r="W27" s="1"/>
  <c r="Q27"/>
  <c r="AI26"/>
  <c r="AC26"/>
  <c r="W26"/>
  <c r="Q26"/>
  <c r="AJ26" s="1"/>
  <c r="AI25"/>
  <c r="AJ25" s="1"/>
  <c r="AC25"/>
  <c r="W25"/>
  <c r="Q25"/>
  <c r="AI24"/>
  <c r="AJ24" s="1"/>
  <c r="AC24"/>
  <c r="W24"/>
  <c r="Q24"/>
  <c r="AI23"/>
  <c r="AJ23" s="1"/>
  <c r="AC23"/>
  <c r="W23"/>
  <c r="Q23"/>
  <c r="AI22"/>
  <c r="AJ22" s="1"/>
  <c r="AC22"/>
  <c r="W22"/>
  <c r="Q22"/>
  <c r="AI21"/>
  <c r="AC21"/>
  <c r="W21"/>
  <c r="Q21"/>
  <c r="AI20"/>
  <c r="AC20"/>
  <c r="W20"/>
  <c r="Q20"/>
  <c r="AI19"/>
  <c r="AJ19" s="1"/>
  <c r="AC19"/>
  <c r="W19"/>
  <c r="Q19"/>
  <c r="AI18"/>
  <c r="X18"/>
  <c r="W18"/>
  <c r="Q18"/>
  <c r="AI17"/>
  <c r="AJ17" s="1"/>
  <c r="AC17"/>
  <c r="W17"/>
  <c r="Q17"/>
  <c r="AI16"/>
  <c r="AJ16" s="1"/>
  <c r="AC16"/>
  <c r="W16"/>
  <c r="Q16"/>
  <c r="AI15"/>
  <c r="AJ15" s="1"/>
  <c r="AC15"/>
  <c r="W15"/>
  <c r="Q15"/>
  <c r="AI14"/>
  <c r="AC14"/>
  <c r="W14"/>
  <c r="Q14"/>
  <c r="AI13"/>
  <c r="P361" s="1"/>
  <c r="AC13"/>
  <c r="W13"/>
  <c r="Q13"/>
  <c r="M361" s="1"/>
  <c r="AI12"/>
  <c r="AJ12" s="1"/>
  <c r="AC12"/>
  <c r="W12"/>
  <c r="Q12"/>
  <c r="AI11"/>
  <c r="AJ11" s="1"/>
  <c r="AC11"/>
  <c r="W11"/>
  <c r="Q11"/>
  <c r="AI10"/>
  <c r="AJ10" s="1"/>
  <c r="AC10"/>
  <c r="W10"/>
  <c r="Q10"/>
  <c r="AI9"/>
  <c r="AJ9" s="1"/>
  <c r="AC9"/>
  <c r="W9"/>
  <c r="Q9"/>
  <c r="X353" i="17"/>
  <c r="X356"/>
  <c r="X357"/>
  <c r="U358"/>
  <c r="T358"/>
  <c r="V358"/>
  <c r="K417" i="19"/>
  <c r="L398"/>
  <c r="M357"/>
  <c r="J417"/>
  <c r="M358"/>
  <c r="J357" s="1"/>
  <c r="AJ271"/>
  <c r="J404"/>
  <c r="J378"/>
  <c r="Q303"/>
  <c r="Q337" s="1"/>
  <c r="AJ14"/>
  <c r="AJ208"/>
  <c r="AJ234"/>
  <c r="AJ238"/>
  <c r="M392"/>
  <c r="P357"/>
  <c r="M400"/>
  <c r="M374"/>
  <c r="AJ223"/>
  <c r="AJ225"/>
  <c r="AJ252"/>
  <c r="AJ64"/>
  <c r="AC133"/>
  <c r="AJ131"/>
  <c r="AJ20"/>
  <c r="AJ240"/>
  <c r="N357"/>
  <c r="P343"/>
  <c r="O343"/>
  <c r="P360"/>
  <c r="P362"/>
  <c r="AI93"/>
  <c r="AI213"/>
  <c r="Q66"/>
  <c r="AI187"/>
  <c r="AC18"/>
  <c r="L392" s="1"/>
  <c r="AK31"/>
  <c r="U303"/>
  <c r="O361"/>
  <c r="U337"/>
  <c r="K336" i="17"/>
  <c r="J337"/>
  <c r="K337"/>
  <c r="AI337"/>
  <c r="AF337"/>
  <c r="AE337"/>
  <c r="AD337"/>
  <c r="AC337"/>
  <c r="AG339" s="1"/>
  <c r="AB337"/>
  <c r="Z337"/>
  <c r="Y337"/>
  <c r="X337"/>
  <c r="AA339" s="1"/>
  <c r="W337"/>
  <c r="V337"/>
  <c r="T337"/>
  <c r="S337"/>
  <c r="R337"/>
  <c r="Q337"/>
  <c r="P337"/>
  <c r="N337"/>
  <c r="M337"/>
  <c r="L337"/>
  <c r="AF336"/>
  <c r="AE336"/>
  <c r="AD336"/>
  <c r="AC336"/>
  <c r="Z336"/>
  <c r="Y336"/>
  <c r="X336"/>
  <c r="W336"/>
  <c r="T336"/>
  <c r="R336"/>
  <c r="Q336"/>
  <c r="N336"/>
  <c r="L336"/>
  <c r="AH327"/>
  <c r="AG327"/>
  <c r="AA327"/>
  <c r="U327"/>
  <c r="O327"/>
  <c r="AH320"/>
  <c r="AG320"/>
  <c r="AA320"/>
  <c r="U320"/>
  <c r="O320"/>
  <c r="AH319"/>
  <c r="AG319"/>
  <c r="AA319"/>
  <c r="U319"/>
  <c r="O319"/>
  <c r="AH318"/>
  <c r="AG318"/>
  <c r="AA318"/>
  <c r="U318"/>
  <c r="O318"/>
  <c r="AH317"/>
  <c r="AG317"/>
  <c r="AA317"/>
  <c r="U317"/>
  <c r="O317"/>
  <c r="AH314"/>
  <c r="AG314"/>
  <c r="AA314"/>
  <c r="U314"/>
  <c r="O314"/>
  <c r="AH313"/>
  <c r="AG313"/>
  <c r="AA313"/>
  <c r="U313"/>
  <c r="O313"/>
  <c r="AH312"/>
  <c r="AA312"/>
  <c r="AA337" s="1"/>
  <c r="U312"/>
  <c r="O312"/>
  <c r="U303"/>
  <c r="O303"/>
  <c r="O337" s="1"/>
  <c r="AH277"/>
  <c r="AG277"/>
  <c r="AF277"/>
  <c r="AE277"/>
  <c r="AD277"/>
  <c r="AB277"/>
  <c r="AA277"/>
  <c r="Z277"/>
  <c r="Y277"/>
  <c r="X277"/>
  <c r="V277"/>
  <c r="U277"/>
  <c r="T277"/>
  <c r="S277"/>
  <c r="R277"/>
  <c r="P277"/>
  <c r="O277"/>
  <c r="N277"/>
  <c r="M277"/>
  <c r="L277"/>
  <c r="Q278" s="1"/>
  <c r="AI274"/>
  <c r="AC274"/>
  <c r="W274"/>
  <c r="Q274"/>
  <c r="AC273"/>
  <c r="AC272"/>
  <c r="AC271"/>
  <c r="Q271"/>
  <c r="T355" s="1"/>
  <c r="X355" s="1"/>
  <c r="AC270"/>
  <c r="AC269"/>
  <c r="AC268"/>
  <c r="AC267"/>
  <c r="AC266"/>
  <c r="AI265"/>
  <c r="AC265"/>
  <c r="W265"/>
  <c r="AI264"/>
  <c r="W354" s="1"/>
  <c r="AC264"/>
  <c r="V354"/>
  <c r="W264"/>
  <c r="U354" s="1"/>
  <c r="AC263"/>
  <c r="AC262"/>
  <c r="AC261"/>
  <c r="AC260"/>
  <c r="AC259"/>
  <c r="AC258"/>
  <c r="AC257"/>
  <c r="AC256"/>
  <c r="AC255"/>
  <c r="AC254"/>
  <c r="W254"/>
  <c r="Q254"/>
  <c r="AC253"/>
  <c r="W253"/>
  <c r="Q253"/>
  <c r="AC252"/>
  <c r="W252"/>
  <c r="Q252"/>
  <c r="AC251"/>
  <c r="W251"/>
  <c r="Q251"/>
  <c r="T354" s="1"/>
  <c r="AC250"/>
  <c r="W250"/>
  <c r="Q250"/>
  <c r="AC249"/>
  <c r="W249"/>
  <c r="Q249"/>
  <c r="AC248"/>
  <c r="W248"/>
  <c r="Q248"/>
  <c r="AC247"/>
  <c r="W247"/>
  <c r="Q247"/>
  <c r="AC246"/>
  <c r="W246"/>
  <c r="Q246"/>
  <c r="AC245"/>
  <c r="W245"/>
  <c r="Q245"/>
  <c r="AC244"/>
  <c r="W244"/>
  <c r="Q244"/>
  <c r="AC243"/>
  <c r="W243"/>
  <c r="Q243"/>
  <c r="AC242"/>
  <c r="W242"/>
  <c r="Q242"/>
  <c r="AC241"/>
  <c r="W241"/>
  <c r="Q241"/>
  <c r="AI240"/>
  <c r="AC240"/>
  <c r="W240"/>
  <c r="Q240"/>
  <c r="AC239"/>
  <c r="W239"/>
  <c r="Q239"/>
  <c r="AC238"/>
  <c r="W238"/>
  <c r="Q238"/>
  <c r="AC237"/>
  <c r="W237"/>
  <c r="Q237"/>
  <c r="AC236"/>
  <c r="W236"/>
  <c r="Q236"/>
  <c r="AC235"/>
  <c r="W235"/>
  <c r="Q235"/>
  <c r="AC234"/>
  <c r="W234"/>
  <c r="Q234"/>
  <c r="AC233"/>
  <c r="W233"/>
  <c r="Q233"/>
  <c r="AC232"/>
  <c r="W232"/>
  <c r="Q232"/>
  <c r="AC231"/>
  <c r="W231"/>
  <c r="Q231"/>
  <c r="W230"/>
  <c r="Q230"/>
  <c r="W229"/>
  <c r="Q229"/>
  <c r="W228"/>
  <c r="Q228"/>
  <c r="W227"/>
  <c r="Q227"/>
  <c r="W226"/>
  <c r="Q226"/>
  <c r="W225"/>
  <c r="Q225"/>
  <c r="W224"/>
  <c r="Q224"/>
  <c r="W223"/>
  <c r="Q223"/>
  <c r="AH213"/>
  <c r="AG213"/>
  <c r="AF213"/>
  <c r="AE213"/>
  <c r="AD213"/>
  <c r="AB213"/>
  <c r="AA213"/>
  <c r="Z213"/>
  <c r="Y213"/>
  <c r="X213"/>
  <c r="V213"/>
  <c r="U213"/>
  <c r="T213"/>
  <c r="S213"/>
  <c r="P213"/>
  <c r="O213"/>
  <c r="N213"/>
  <c r="M213"/>
  <c r="L213"/>
  <c r="AI211"/>
  <c r="AC211"/>
  <c r="W211"/>
  <c r="Q211"/>
  <c r="AI210"/>
  <c r="W210"/>
  <c r="Q210"/>
  <c r="AI209"/>
  <c r="W209"/>
  <c r="Q209"/>
  <c r="AI208"/>
  <c r="Q208"/>
  <c r="AI207"/>
  <c r="AC207"/>
  <c r="W207"/>
  <c r="Q207"/>
  <c r="AI206"/>
  <c r="AC206"/>
  <c r="W206"/>
  <c r="Q206"/>
  <c r="AI205"/>
  <c r="AC205"/>
  <c r="W205"/>
  <c r="Q205"/>
  <c r="AI204"/>
  <c r="AC204"/>
  <c r="W204"/>
  <c r="Q204"/>
  <c r="AI203"/>
  <c r="Q203"/>
  <c r="AI202"/>
  <c r="AC202"/>
  <c r="W202"/>
  <c r="Q202"/>
  <c r="AI201"/>
  <c r="W201"/>
  <c r="R201"/>
  <c r="R213" s="1"/>
  <c r="Q201"/>
  <c r="AI200"/>
  <c r="AC200"/>
  <c r="W200"/>
  <c r="Q200"/>
  <c r="AI199"/>
  <c r="Q199"/>
  <c r="AH187"/>
  <c r="AG187"/>
  <c r="AF187"/>
  <c r="AE187"/>
  <c r="AD187"/>
  <c r="AB187"/>
  <c r="AA187"/>
  <c r="Z187"/>
  <c r="Y187"/>
  <c r="X187"/>
  <c r="V187"/>
  <c r="U187"/>
  <c r="T187"/>
  <c r="S187"/>
  <c r="R187"/>
  <c r="P187"/>
  <c r="O187"/>
  <c r="N187"/>
  <c r="M187"/>
  <c r="L187"/>
  <c r="AI182"/>
  <c r="AC182"/>
  <c r="W182"/>
  <c r="Q182"/>
  <c r="W181"/>
  <c r="AI179"/>
  <c r="AC179"/>
  <c r="W179"/>
  <c r="Q179"/>
  <c r="AI175"/>
  <c r="AC175"/>
  <c r="W175"/>
  <c r="Q175"/>
  <c r="AI168"/>
  <c r="AC168"/>
  <c r="W168"/>
  <c r="Q168"/>
  <c r="AI160"/>
  <c r="AC160"/>
  <c r="W160"/>
  <c r="Q160"/>
  <c r="AI157"/>
  <c r="AC157"/>
  <c r="W157"/>
  <c r="Q157"/>
  <c r="AI153"/>
  <c r="AC153"/>
  <c r="W153"/>
  <c r="Q153"/>
  <c r="AI149"/>
  <c r="AC149"/>
  <c r="W149"/>
  <c r="Q149"/>
  <c r="W148"/>
  <c r="W147"/>
  <c r="W146"/>
  <c r="AI145"/>
  <c r="AC145"/>
  <c r="W145"/>
  <c r="Q145"/>
  <c r="W144"/>
  <c r="W143"/>
  <c r="W142"/>
  <c r="W187" s="1"/>
  <c r="AI141"/>
  <c r="AI187" s="1"/>
  <c r="AC141"/>
  <c r="W141"/>
  <c r="Q141"/>
  <c r="Q187" s="1"/>
  <c r="AH133"/>
  <c r="AG133"/>
  <c r="AF133"/>
  <c r="AE133"/>
  <c r="AD133"/>
  <c r="M346" s="1"/>
  <c r="AB133"/>
  <c r="AA133"/>
  <c r="Z133"/>
  <c r="Y133"/>
  <c r="X133"/>
  <c r="W133"/>
  <c r="V133"/>
  <c r="U133"/>
  <c r="T133"/>
  <c r="S133"/>
  <c r="R133"/>
  <c r="Q133"/>
  <c r="P133"/>
  <c r="O133"/>
  <c r="N133"/>
  <c r="M133"/>
  <c r="L133"/>
  <c r="AC132"/>
  <c r="W132"/>
  <c r="Q132"/>
  <c r="AI131"/>
  <c r="AC131"/>
  <c r="AC133" s="1"/>
  <c r="AI130"/>
  <c r="AI129"/>
  <c r="AI128"/>
  <c r="AI127"/>
  <c r="AI126"/>
  <c r="AI125"/>
  <c r="AI124"/>
  <c r="AI123"/>
  <c r="AI122"/>
  <c r="AI121"/>
  <c r="AI120"/>
  <c r="AI119"/>
  <c r="AI118"/>
  <c r="AI117"/>
  <c r="AI116"/>
  <c r="AH93"/>
  <c r="AG93"/>
  <c r="AF93"/>
  <c r="AE93"/>
  <c r="AD93"/>
  <c r="AB93"/>
  <c r="AA93"/>
  <c r="Z93"/>
  <c r="Y93"/>
  <c r="X93"/>
  <c r="V93"/>
  <c r="U93"/>
  <c r="T93"/>
  <c r="S93"/>
  <c r="R93"/>
  <c r="P93"/>
  <c r="O93"/>
  <c r="N93"/>
  <c r="M93"/>
  <c r="L93"/>
  <c r="AI86"/>
  <c r="AC86"/>
  <c r="W86"/>
  <c r="Q86"/>
  <c r="AI83"/>
  <c r="AC83"/>
  <c r="W83"/>
  <c r="Q83"/>
  <c r="AI82"/>
  <c r="AC82"/>
  <c r="W82"/>
  <c r="Q82"/>
  <c r="AI81"/>
  <c r="W352"/>
  <c r="AC81"/>
  <c r="W81"/>
  <c r="Q81"/>
  <c r="AI80"/>
  <c r="AC80"/>
  <c r="W80"/>
  <c r="Q80"/>
  <c r="AI79"/>
  <c r="AI93" s="1"/>
  <c r="AC79"/>
  <c r="W79"/>
  <c r="W93" s="1"/>
  <c r="Q79"/>
  <c r="Q74"/>
  <c r="AJ67"/>
  <c r="AH66"/>
  <c r="AG66"/>
  <c r="AF66"/>
  <c r="AE66"/>
  <c r="AD66"/>
  <c r="AB66"/>
  <c r="AA66"/>
  <c r="Z66"/>
  <c r="O345" s="1"/>
  <c r="Y66"/>
  <c r="X66"/>
  <c r="V66"/>
  <c r="U66"/>
  <c r="T66"/>
  <c r="S66"/>
  <c r="R66"/>
  <c r="W67" s="1"/>
  <c r="P66"/>
  <c r="Q343" s="1"/>
  <c r="O66"/>
  <c r="N66"/>
  <c r="M66"/>
  <c r="L66"/>
  <c r="AK64"/>
  <c r="AI64"/>
  <c r="AI63"/>
  <c r="AI62"/>
  <c r="AI61"/>
  <c r="AI60"/>
  <c r="AI59"/>
  <c r="AI58"/>
  <c r="AI57"/>
  <c r="AI56"/>
  <c r="AI55"/>
  <c r="AI54"/>
  <c r="AI53"/>
  <c r="AC53"/>
  <c r="W53"/>
  <c r="Q53"/>
  <c r="AI52"/>
  <c r="AI51"/>
  <c r="AC51"/>
  <c r="W51"/>
  <c r="W66" s="1"/>
  <c r="Q51"/>
  <c r="AI50"/>
  <c r="AI49"/>
  <c r="AI48"/>
  <c r="AI47"/>
  <c r="AI46"/>
  <c r="AI45"/>
  <c r="AI44"/>
  <c r="AI43"/>
  <c r="AI42"/>
  <c r="AI41"/>
  <c r="AI40"/>
  <c r="AI39"/>
  <c r="Q39"/>
  <c r="AI38"/>
  <c r="AI37"/>
  <c r="AI66" s="1"/>
  <c r="Q36"/>
  <c r="AH30"/>
  <c r="AG30"/>
  <c r="P346" s="1"/>
  <c r="AF30"/>
  <c r="O346" s="1"/>
  <c r="AE30"/>
  <c r="AD30"/>
  <c r="AB30"/>
  <c r="Q345" s="1"/>
  <c r="AA30"/>
  <c r="P345" s="1"/>
  <c r="Z30"/>
  <c r="Y30"/>
  <c r="V30"/>
  <c r="Q344" s="1"/>
  <c r="U30"/>
  <c r="P344" s="1"/>
  <c r="T30"/>
  <c r="O344" s="1"/>
  <c r="S30"/>
  <c r="P30"/>
  <c r="O30"/>
  <c r="P343" s="1"/>
  <c r="N30"/>
  <c r="M30"/>
  <c r="L30"/>
  <c r="AK28"/>
  <c r="AI27"/>
  <c r="AC27"/>
  <c r="R27"/>
  <c r="W27" s="1"/>
  <c r="R30"/>
  <c r="Q27"/>
  <c r="AI26"/>
  <c r="AC26"/>
  <c r="W26"/>
  <c r="Q26"/>
  <c r="AI25"/>
  <c r="AC25"/>
  <c r="W25"/>
  <c r="Q25"/>
  <c r="AI24"/>
  <c r="AC24"/>
  <c r="W24"/>
  <c r="Q24"/>
  <c r="AI23"/>
  <c r="AC23"/>
  <c r="W23"/>
  <c r="Q23"/>
  <c r="AI22"/>
  <c r="AC22"/>
  <c r="W22"/>
  <c r="Q22"/>
  <c r="AI21"/>
  <c r="AC21"/>
  <c r="W21"/>
  <c r="Q21"/>
  <c r="AI20"/>
  <c r="AC20"/>
  <c r="W20"/>
  <c r="Q20"/>
  <c r="AI19"/>
  <c r="AC19"/>
  <c r="W19"/>
  <c r="Q19"/>
  <c r="AI18"/>
  <c r="X18"/>
  <c r="AC18" s="1"/>
  <c r="X30"/>
  <c r="M345" s="1"/>
  <c r="W18"/>
  <c r="Q18"/>
  <c r="AI17"/>
  <c r="AC17"/>
  <c r="W17"/>
  <c r="Q17"/>
  <c r="AI16"/>
  <c r="AC16"/>
  <c r="W16"/>
  <c r="Q16"/>
  <c r="AI15"/>
  <c r="AC15"/>
  <c r="W15"/>
  <c r="Q15"/>
  <c r="AI14"/>
  <c r="AC14"/>
  <c r="W14"/>
  <c r="Q14"/>
  <c r="AI13"/>
  <c r="AC13"/>
  <c r="W13"/>
  <c r="Q13"/>
  <c r="AI12"/>
  <c r="AC12"/>
  <c r="W12"/>
  <c r="Q12"/>
  <c r="AI11"/>
  <c r="AC11"/>
  <c r="W11"/>
  <c r="Q11"/>
  <c r="AI10"/>
  <c r="AC10"/>
  <c r="W10"/>
  <c r="Q10"/>
  <c r="AI9"/>
  <c r="AI30" s="1"/>
  <c r="AC9"/>
  <c r="W9"/>
  <c r="Q9"/>
  <c r="Q30"/>
  <c r="T359"/>
  <c r="U337"/>
  <c r="Q346"/>
  <c r="Q67"/>
  <c r="Q66"/>
  <c r="V337" i="12"/>
  <c r="S337"/>
  <c r="M337"/>
  <c r="P337"/>
  <c r="X18"/>
  <c r="X30" s="1"/>
  <c r="M348" s="1"/>
  <c r="R27"/>
  <c r="R30" s="1"/>
  <c r="W27"/>
  <c r="B21" i="16"/>
  <c r="C21"/>
  <c r="D21"/>
  <c r="E21"/>
  <c r="A21"/>
  <c r="A24" s="1"/>
  <c r="F19"/>
  <c r="F18"/>
  <c r="F17"/>
  <c r="F16"/>
  <c r="F15"/>
  <c r="F14"/>
  <c r="F13"/>
  <c r="F12"/>
  <c r="F11"/>
  <c r="F10"/>
  <c r="F9"/>
  <c r="F8"/>
  <c r="F7"/>
  <c r="F6"/>
  <c r="F5"/>
  <c r="F4"/>
  <c r="F3"/>
  <c r="F2"/>
  <c r="F1"/>
  <c r="W19" i="12"/>
  <c r="W15"/>
  <c r="AI182"/>
  <c r="AI179"/>
  <c r="AI175"/>
  <c r="AI168"/>
  <c r="AI160"/>
  <c r="AI157"/>
  <c r="AI153"/>
  <c r="AI149"/>
  <c r="AI145"/>
  <c r="AI141"/>
  <c r="AC141"/>
  <c r="AC145"/>
  <c r="AC149"/>
  <c r="AC153"/>
  <c r="AC157"/>
  <c r="AC160"/>
  <c r="AC168"/>
  <c r="AC175"/>
  <c r="AC179"/>
  <c r="AC182"/>
  <c r="W182"/>
  <c r="W179"/>
  <c r="W175"/>
  <c r="W168"/>
  <c r="W160"/>
  <c r="W157"/>
  <c r="W153"/>
  <c r="W146"/>
  <c r="W147"/>
  <c r="W148"/>
  <c r="W149"/>
  <c r="W145"/>
  <c r="W142"/>
  <c r="W143"/>
  <c r="W144"/>
  <c r="W141"/>
  <c r="W181"/>
  <c r="Q182"/>
  <c r="Q179"/>
  <c r="Q175"/>
  <c r="Q168"/>
  <c r="Q160"/>
  <c r="Q157"/>
  <c r="Q153"/>
  <c r="Q149"/>
  <c r="Q145"/>
  <c r="Q141"/>
  <c r="AK28"/>
  <c r="AJ67"/>
  <c r="I69" i="11"/>
  <c r="K337" i="12"/>
  <c r="L337"/>
  <c r="N337"/>
  <c r="Q337"/>
  <c r="R337"/>
  <c r="T337"/>
  <c r="W337"/>
  <c r="X337"/>
  <c r="Y337"/>
  <c r="Z337"/>
  <c r="AB337"/>
  <c r="AC337"/>
  <c r="AD337"/>
  <c r="AE337"/>
  <c r="AF337"/>
  <c r="AI337"/>
  <c r="J337"/>
  <c r="O342" s="1"/>
  <c r="AI240"/>
  <c r="AI264"/>
  <c r="AD277"/>
  <c r="AI265"/>
  <c r="AI274"/>
  <c r="AC274"/>
  <c r="W264"/>
  <c r="W274"/>
  <c r="R277"/>
  <c r="Q274"/>
  <c r="M277"/>
  <c r="Q278" s="1"/>
  <c r="N277"/>
  <c r="O277"/>
  <c r="P277"/>
  <c r="S277"/>
  <c r="T277"/>
  <c r="U277"/>
  <c r="V277"/>
  <c r="X277"/>
  <c r="Y277"/>
  <c r="Z277"/>
  <c r="AA277"/>
  <c r="AB277"/>
  <c r="AE277"/>
  <c r="AF277"/>
  <c r="AG277"/>
  <c r="AH277"/>
  <c r="L277"/>
  <c r="W211"/>
  <c r="AI200"/>
  <c r="AI201"/>
  <c r="AI202"/>
  <c r="AI203"/>
  <c r="AI204"/>
  <c r="AI205"/>
  <c r="AI206"/>
  <c r="AI207"/>
  <c r="AI208"/>
  <c r="AI209"/>
  <c r="AI210"/>
  <c r="AI211"/>
  <c r="AI199"/>
  <c r="AH213"/>
  <c r="M213"/>
  <c r="N213"/>
  <c r="O213"/>
  <c r="P213"/>
  <c r="S213"/>
  <c r="T213"/>
  <c r="U213"/>
  <c r="V213"/>
  <c r="X213"/>
  <c r="Y213"/>
  <c r="Z213"/>
  <c r="AA213"/>
  <c r="AB213"/>
  <c r="AD213"/>
  <c r="AE213"/>
  <c r="AF213"/>
  <c r="AG213"/>
  <c r="L213"/>
  <c r="M187"/>
  <c r="N187"/>
  <c r="O187"/>
  <c r="P187"/>
  <c r="R187"/>
  <c r="S187"/>
  <c r="T187"/>
  <c r="U187"/>
  <c r="V187"/>
  <c r="X187"/>
  <c r="Y187"/>
  <c r="Z187"/>
  <c r="AA187"/>
  <c r="AB187"/>
  <c r="AD187"/>
  <c r="AE187"/>
  <c r="AF187"/>
  <c r="AG187"/>
  <c r="AH187"/>
  <c r="L187"/>
  <c r="AI116"/>
  <c r="Q133"/>
  <c r="AI117"/>
  <c r="AI118"/>
  <c r="AI119"/>
  <c r="AI120"/>
  <c r="AI121"/>
  <c r="AI122"/>
  <c r="AI123"/>
  <c r="AI124"/>
  <c r="AI125"/>
  <c r="AI126"/>
  <c r="AI127"/>
  <c r="AI128"/>
  <c r="AI129"/>
  <c r="AI130"/>
  <c r="AI131"/>
  <c r="M133"/>
  <c r="N133"/>
  <c r="O133"/>
  <c r="P133"/>
  <c r="R133"/>
  <c r="S133"/>
  <c r="T133"/>
  <c r="U133"/>
  <c r="V133"/>
  <c r="W133"/>
  <c r="X133"/>
  <c r="Y133"/>
  <c r="Z133"/>
  <c r="AA133"/>
  <c r="AB133"/>
  <c r="AD133"/>
  <c r="AE133"/>
  <c r="AF133"/>
  <c r="AG133"/>
  <c r="AH133"/>
  <c r="L133"/>
  <c r="AD93"/>
  <c r="AI86"/>
  <c r="AC86"/>
  <c r="AI80"/>
  <c r="AI81"/>
  <c r="AI82"/>
  <c r="AI83"/>
  <c r="AI79"/>
  <c r="AC80"/>
  <c r="AC81"/>
  <c r="AC82"/>
  <c r="AC83"/>
  <c r="AC79"/>
  <c r="W80"/>
  <c r="W81"/>
  <c r="W82"/>
  <c r="W83"/>
  <c r="W86"/>
  <c r="W79"/>
  <c r="Q81"/>
  <c r="Q80"/>
  <c r="Q79"/>
  <c r="Q93" s="1"/>
  <c r="Q83"/>
  <c r="M93"/>
  <c r="N93"/>
  <c r="O93"/>
  <c r="P93"/>
  <c r="R93"/>
  <c r="S93"/>
  <c r="T93"/>
  <c r="U93"/>
  <c r="V93"/>
  <c r="X93"/>
  <c r="Y93"/>
  <c r="Z93"/>
  <c r="AA93"/>
  <c r="AB93"/>
  <c r="AE93"/>
  <c r="AF93"/>
  <c r="AG93"/>
  <c r="AH93"/>
  <c r="L93"/>
  <c r="Q82"/>
  <c r="Q86"/>
  <c r="Q74"/>
  <c r="X66"/>
  <c r="AK64"/>
  <c r="AI53"/>
  <c r="AI51"/>
  <c r="AI38"/>
  <c r="AI39"/>
  <c r="AI40"/>
  <c r="AI41"/>
  <c r="AI42"/>
  <c r="AI43"/>
  <c r="AI44"/>
  <c r="AI45"/>
  <c r="AI46"/>
  <c r="AI47"/>
  <c r="AI48"/>
  <c r="AI49"/>
  <c r="AI50"/>
  <c r="AI52"/>
  <c r="AI54"/>
  <c r="AI55"/>
  <c r="AI56"/>
  <c r="AI57"/>
  <c r="AI58"/>
  <c r="AI59"/>
  <c r="AI60"/>
  <c r="AI61"/>
  <c r="AI62"/>
  <c r="AI63"/>
  <c r="AI64"/>
  <c r="AI37"/>
  <c r="AG66"/>
  <c r="AH66"/>
  <c r="AH30"/>
  <c r="W53"/>
  <c r="W51"/>
  <c r="W66" s="1"/>
  <c r="Q53"/>
  <c r="Q51"/>
  <c r="Q39"/>
  <c r="Q36"/>
  <c r="AI10"/>
  <c r="AI11"/>
  <c r="AI12"/>
  <c r="AI13"/>
  <c r="AI14"/>
  <c r="AI15"/>
  <c r="AI16"/>
  <c r="AI17"/>
  <c r="AI18"/>
  <c r="AI19"/>
  <c r="AI20"/>
  <c r="AI21"/>
  <c r="AI22"/>
  <c r="AI23"/>
  <c r="AI24"/>
  <c r="AI25"/>
  <c r="AI26"/>
  <c r="AI27"/>
  <c r="AI9"/>
  <c r="AC10"/>
  <c r="AC11"/>
  <c r="AC12"/>
  <c r="AC13"/>
  <c r="AC14"/>
  <c r="AC15"/>
  <c r="AC16"/>
  <c r="AC17"/>
  <c r="AC19"/>
  <c r="AC20"/>
  <c r="AC21"/>
  <c r="AC22"/>
  <c r="AC23"/>
  <c r="AC24"/>
  <c r="AC25"/>
  <c r="AC26"/>
  <c r="AC27"/>
  <c r="AC9"/>
  <c r="W10"/>
  <c r="W11"/>
  <c r="W12"/>
  <c r="W13"/>
  <c r="W14"/>
  <c r="W16"/>
  <c r="W17"/>
  <c r="W18"/>
  <c r="W20"/>
  <c r="W21"/>
  <c r="W22"/>
  <c r="W23"/>
  <c r="W24"/>
  <c r="W25"/>
  <c r="W26"/>
  <c r="W9"/>
  <c r="Q10"/>
  <c r="Q11"/>
  <c r="Q12"/>
  <c r="Q13"/>
  <c r="Q14"/>
  <c r="Q15"/>
  <c r="Q16"/>
  <c r="Q17"/>
  <c r="Q18"/>
  <c r="Q19"/>
  <c r="Q20"/>
  <c r="Q21"/>
  <c r="Q22"/>
  <c r="Q23"/>
  <c r="Q24"/>
  <c r="Q25"/>
  <c r="Q26"/>
  <c r="Q27"/>
  <c r="Q9"/>
  <c r="M66"/>
  <c r="N346" s="1"/>
  <c r="N66"/>
  <c r="O66"/>
  <c r="P66"/>
  <c r="Q346" s="1"/>
  <c r="R66"/>
  <c r="W67" s="1"/>
  <c r="S66"/>
  <c r="T66"/>
  <c r="U66"/>
  <c r="V66"/>
  <c r="Q347" s="1"/>
  <c r="Y66"/>
  <c r="Z66"/>
  <c r="AA66"/>
  <c r="AB66"/>
  <c r="AD66"/>
  <c r="AE66"/>
  <c r="AF66"/>
  <c r="L66"/>
  <c r="Q67" s="1"/>
  <c r="Z30"/>
  <c r="AA30"/>
  <c r="AB30"/>
  <c r="AD30"/>
  <c r="M349" s="1"/>
  <c r="AE30"/>
  <c r="AF30"/>
  <c r="AG30"/>
  <c r="P349"/>
  <c r="V30"/>
  <c r="Y30"/>
  <c r="S30"/>
  <c r="T30"/>
  <c r="U30"/>
  <c r="M30"/>
  <c r="N30"/>
  <c r="O30"/>
  <c r="P30"/>
  <c r="L30"/>
  <c r="W204"/>
  <c r="W201"/>
  <c r="AF336"/>
  <c r="AE336"/>
  <c r="AD336"/>
  <c r="AC336"/>
  <c r="Z336"/>
  <c r="Y336"/>
  <c r="X336"/>
  <c r="W336"/>
  <c r="T336"/>
  <c r="R336"/>
  <c r="Q336"/>
  <c r="N336"/>
  <c r="L336"/>
  <c r="K336"/>
  <c r="AH327"/>
  <c r="AG327"/>
  <c r="AA327"/>
  <c r="U327"/>
  <c r="O327"/>
  <c r="AH320"/>
  <c r="AG320"/>
  <c r="AA320"/>
  <c r="U320"/>
  <c r="O320"/>
  <c r="AH319"/>
  <c r="AG319"/>
  <c r="AA319"/>
  <c r="U319"/>
  <c r="O319"/>
  <c r="AH318"/>
  <c r="AG318"/>
  <c r="AA318"/>
  <c r="AA337" s="1"/>
  <c r="U318"/>
  <c r="O318"/>
  <c r="AH317"/>
  <c r="AG317"/>
  <c r="AG337" s="1"/>
  <c r="AA317"/>
  <c r="U317"/>
  <c r="O317"/>
  <c r="AH314"/>
  <c r="AG314"/>
  <c r="AA314"/>
  <c r="U314"/>
  <c r="O314"/>
  <c r="O337" s="1"/>
  <c r="AH313"/>
  <c r="AG313"/>
  <c r="AA313"/>
  <c r="U313"/>
  <c r="O313"/>
  <c r="AH312"/>
  <c r="AA312"/>
  <c r="U312"/>
  <c r="U337" s="1"/>
  <c r="O312"/>
  <c r="U303"/>
  <c r="O303"/>
  <c r="AC273"/>
  <c r="AC272"/>
  <c r="AC271"/>
  <c r="Q271"/>
  <c r="AC270"/>
  <c r="AC269"/>
  <c r="AC268"/>
  <c r="AC267"/>
  <c r="AC266"/>
  <c r="AC265"/>
  <c r="W265"/>
  <c r="AC264"/>
  <c r="AC263"/>
  <c r="AC262"/>
  <c r="AC261"/>
  <c r="AC260"/>
  <c r="AC259"/>
  <c r="AC258"/>
  <c r="AC257"/>
  <c r="AC256"/>
  <c r="AC255"/>
  <c r="AC254"/>
  <c r="W254"/>
  <c r="Q254"/>
  <c r="AC253"/>
  <c r="W253"/>
  <c r="Q253"/>
  <c r="AC252"/>
  <c r="W252"/>
  <c r="Q252"/>
  <c r="AC251"/>
  <c r="W251"/>
  <c r="Q251"/>
  <c r="AC250"/>
  <c r="W250"/>
  <c r="Q250"/>
  <c r="AC249"/>
  <c r="W249"/>
  <c r="Q249"/>
  <c r="AC248"/>
  <c r="W248"/>
  <c r="Q248"/>
  <c r="AC247"/>
  <c r="W247"/>
  <c r="Q247"/>
  <c r="AC246"/>
  <c r="W246"/>
  <c r="Q246"/>
  <c r="AC245"/>
  <c r="W245"/>
  <c r="Q245"/>
  <c r="AC244"/>
  <c r="W244"/>
  <c r="Q244"/>
  <c r="AC243"/>
  <c r="W243"/>
  <c r="Q243"/>
  <c r="AC242"/>
  <c r="W242"/>
  <c r="Q242"/>
  <c r="AC241"/>
  <c r="W241"/>
  <c r="Q241"/>
  <c r="AC240"/>
  <c r="W240"/>
  <c r="Q240"/>
  <c r="AC239"/>
  <c r="W239"/>
  <c r="Q239"/>
  <c r="AC238"/>
  <c r="W238"/>
  <c r="Q238"/>
  <c r="AC237"/>
  <c r="W237"/>
  <c r="Q237"/>
  <c r="AC236"/>
  <c r="W236"/>
  <c r="Q236"/>
  <c r="AC235"/>
  <c r="W235"/>
  <c r="Q235"/>
  <c r="AC234"/>
  <c r="W234"/>
  <c r="Q234"/>
  <c r="AC233"/>
  <c r="W233"/>
  <c r="Q233"/>
  <c r="AC232"/>
  <c r="W232"/>
  <c r="Q232"/>
  <c r="AC231"/>
  <c r="W231"/>
  <c r="Q231"/>
  <c r="W230"/>
  <c r="Q230"/>
  <c r="W229"/>
  <c r="Q229"/>
  <c r="W228"/>
  <c r="Q228"/>
  <c r="W227"/>
  <c r="Q227"/>
  <c r="W226"/>
  <c r="Q226"/>
  <c r="W225"/>
  <c r="Q225"/>
  <c r="Q277" s="1"/>
  <c r="W224"/>
  <c r="Q224"/>
  <c r="W223"/>
  <c r="Q223"/>
  <c r="AC211"/>
  <c r="Q211"/>
  <c r="W210"/>
  <c r="Q210"/>
  <c r="W209"/>
  <c r="Q209"/>
  <c r="Q208"/>
  <c r="AC207"/>
  <c r="W207"/>
  <c r="Q207"/>
  <c r="AC206"/>
  <c r="W206"/>
  <c r="Q206"/>
  <c r="AC205"/>
  <c r="W205"/>
  <c r="Q205"/>
  <c r="AC204"/>
  <c r="Q204"/>
  <c r="Q203"/>
  <c r="AC202"/>
  <c r="AC213" s="1"/>
  <c r="W202"/>
  <c r="Q202"/>
  <c r="R201"/>
  <c r="R213"/>
  <c r="Q201"/>
  <c r="AC200"/>
  <c r="W200"/>
  <c r="W213" s="1"/>
  <c r="Q200"/>
  <c r="Q213" s="1"/>
  <c r="Q199"/>
  <c r="AC131"/>
  <c r="AC133"/>
  <c r="AC132"/>
  <c r="Q132"/>
  <c r="W132"/>
  <c r="AC53"/>
  <c r="AC51"/>
  <c r="AC66" s="1"/>
  <c r="X17" i="11"/>
  <c r="X16"/>
  <c r="O346" i="12"/>
  <c r="P348"/>
  <c r="AH67"/>
  <c r="AC93"/>
  <c r="AT9" i="13"/>
  <c r="AT10" s="1"/>
  <c r="O352" i="20" l="1"/>
  <c r="Q347" i="17"/>
  <c r="X354"/>
  <c r="R351" i="20"/>
  <c r="M344" i="17"/>
  <c r="R344" s="1"/>
  <c r="P347" i="12"/>
  <c r="N348"/>
  <c r="Q30"/>
  <c r="AI66"/>
  <c r="AJ66" s="1"/>
  <c r="AI213"/>
  <c r="M346"/>
  <c r="AC18"/>
  <c r="AC30"/>
  <c r="AK31" s="1"/>
  <c r="AI30"/>
  <c r="Q66"/>
  <c r="Q349"/>
  <c r="AI93"/>
  <c r="AJ93" s="1"/>
  <c r="O349"/>
  <c r="AI133"/>
  <c r="AI277"/>
  <c r="U342"/>
  <c r="AC187"/>
  <c r="AC66" i="17"/>
  <c r="O343"/>
  <c r="O347" s="1"/>
  <c r="N344"/>
  <c r="AC67"/>
  <c r="Q213"/>
  <c r="T351" s="1"/>
  <c r="AI213"/>
  <c r="W351" s="1"/>
  <c r="W213"/>
  <c r="U351" s="1"/>
  <c r="N343"/>
  <c r="Q277"/>
  <c r="AJ277" s="1"/>
  <c r="AC277"/>
  <c r="AI277"/>
  <c r="AI133" i="19"/>
  <c r="L374"/>
  <c r="O355"/>
  <c r="M399"/>
  <c r="AJ51"/>
  <c r="W66"/>
  <c r="P345"/>
  <c r="AC187"/>
  <c r="J398"/>
  <c r="AJ200"/>
  <c r="AI277"/>
  <c r="AJ242"/>
  <c r="AJ243"/>
  <c r="AJ244"/>
  <c r="AJ247"/>
  <c r="AJ248"/>
  <c r="AJ249"/>
  <c r="J400"/>
  <c r="K391"/>
  <c r="Q358"/>
  <c r="Q278"/>
  <c r="J399"/>
  <c r="M372"/>
  <c r="AH320"/>
  <c r="N346"/>
  <c r="O345"/>
  <c r="O347" s="1"/>
  <c r="P344"/>
  <c r="P347" s="1"/>
  <c r="Q343"/>
  <c r="Q67"/>
  <c r="Q359"/>
  <c r="Q360"/>
  <c r="M349" i="20"/>
  <c r="M348"/>
  <c r="R348" s="1"/>
  <c r="AH67"/>
  <c r="AC187"/>
  <c r="W213"/>
  <c r="Q277"/>
  <c r="Q278"/>
  <c r="AL336"/>
  <c r="O344"/>
  <c r="W338"/>
  <c r="AC338"/>
  <c r="AP318"/>
  <c r="AM9" i="13"/>
  <c r="AM10" s="1"/>
  <c r="AA342" i="12"/>
  <c r="T360" i="17"/>
  <c r="N346"/>
  <c r="V352"/>
  <c r="W277" i="12"/>
  <c r="AC277"/>
  <c r="N347"/>
  <c r="N350" s="1"/>
  <c r="AC67"/>
  <c r="N349"/>
  <c r="O347"/>
  <c r="O350" s="1"/>
  <c r="P346"/>
  <c r="P350" s="1"/>
  <c r="W93"/>
  <c r="Q348"/>
  <c r="Q187"/>
  <c r="AJ187" s="1"/>
  <c r="W187"/>
  <c r="AI187"/>
  <c r="F21" i="16"/>
  <c r="T352" i="17"/>
  <c r="X352" s="1"/>
  <c r="AC93"/>
  <c r="AG337"/>
  <c r="AH337" s="1"/>
  <c r="U339"/>
  <c r="O339"/>
  <c r="Q93" i="19"/>
  <c r="N344"/>
  <c r="L373"/>
  <c r="AJ18"/>
  <c r="AJ21"/>
  <c r="K372"/>
  <c r="AJ80"/>
  <c r="AJ82"/>
  <c r="AJ83"/>
  <c r="AJ86"/>
  <c r="Q345"/>
  <c r="Q347" s="1"/>
  <c r="W213"/>
  <c r="AJ231"/>
  <c r="AJ236"/>
  <c r="AJ250"/>
  <c r="AH314"/>
  <c r="O339"/>
  <c r="AA339"/>
  <c r="AG339"/>
  <c r="I394"/>
  <c r="AO336" i="20"/>
  <c r="Q338"/>
  <c r="AP312"/>
  <c r="AP337" s="1"/>
  <c r="AP313"/>
  <c r="AC66"/>
  <c r="AJ66" s="1"/>
  <c r="W67"/>
  <c r="AC93"/>
  <c r="AJ93" s="1"/>
  <c r="AP320"/>
  <c r="AP327"/>
  <c r="AM337"/>
  <c r="AL337"/>
  <c r="P347" i="17"/>
  <c r="O348" i="12"/>
  <c r="W30"/>
  <c r="AG342"/>
  <c r="W360" i="17"/>
  <c r="N345"/>
  <c r="AH67"/>
  <c r="U352"/>
  <c r="AI133"/>
  <c r="AC187"/>
  <c r="AJ187" s="1"/>
  <c r="AC213"/>
  <c r="V351" s="1"/>
  <c r="W277"/>
  <c r="AC213" i="19"/>
  <c r="P354"/>
  <c r="O357"/>
  <c r="Q357" s="1"/>
  <c r="J392"/>
  <c r="K374"/>
  <c r="L419"/>
  <c r="P346"/>
  <c r="P392" s="1"/>
  <c r="P394" s="1"/>
  <c r="Q187"/>
  <c r="AJ210"/>
  <c r="AJ211"/>
  <c r="M345"/>
  <c r="R345" s="1"/>
  <c r="W277"/>
  <c r="Q277"/>
  <c r="AJ241"/>
  <c r="AJ254"/>
  <c r="AJ265"/>
  <c r="AH317"/>
  <c r="AH318"/>
  <c r="M373"/>
  <c r="AC67"/>
  <c r="O344"/>
  <c r="I420"/>
  <c r="N352" i="20"/>
  <c r="Q337"/>
  <c r="AM336"/>
  <c r="AP319"/>
  <c r="AK337"/>
  <c r="AP340" s="1"/>
  <c r="R349"/>
  <c r="R353" s="1"/>
  <c r="M366" i="19"/>
  <c r="R348" i="12"/>
  <c r="AJ93" i="17"/>
  <c r="AH337" i="12"/>
  <c r="R349"/>
  <c r="AC30" i="17"/>
  <c r="V359" s="1"/>
  <c r="R345"/>
  <c r="W30"/>
  <c r="U359" s="1"/>
  <c r="X359" s="1"/>
  <c r="AJ66"/>
  <c r="R346"/>
  <c r="R346" i="19"/>
  <c r="R346" i="12"/>
  <c r="AK30"/>
  <c r="AJ133"/>
  <c r="AJ134"/>
  <c r="K418" i="19"/>
  <c r="AJ27"/>
  <c r="K392"/>
  <c r="N361"/>
  <c r="Q361" s="1"/>
  <c r="W359" i="17"/>
  <c r="AJ134"/>
  <c r="AJ133"/>
  <c r="N399" i="19"/>
  <c r="AK30" i="20"/>
  <c r="M350"/>
  <c r="R350" s="1"/>
  <c r="AJ133"/>
  <c r="AJ134"/>
  <c r="N347" i="17"/>
  <c r="N347" i="19"/>
  <c r="R344"/>
  <c r="U339"/>
  <c r="Q350" i="12"/>
  <c r="AJ213"/>
  <c r="AJ187" i="20"/>
  <c r="AJ213"/>
  <c r="AJ277"/>
  <c r="M343" i="17"/>
  <c r="U360"/>
  <c r="V360"/>
  <c r="K399" i="19"/>
  <c r="AH303"/>
  <c r="N373" s="1"/>
  <c r="K373"/>
  <c r="L418"/>
  <c r="Q336"/>
  <c r="AA337"/>
  <c r="O362"/>
  <c r="W93"/>
  <c r="AJ93" s="1"/>
  <c r="M343"/>
  <c r="AC277"/>
  <c r="AJ277" s="1"/>
  <c r="P355"/>
  <c r="P363" s="1"/>
  <c r="P418" s="1"/>
  <c r="P420" s="1"/>
  <c r="K419"/>
  <c r="K398"/>
  <c r="AJ13"/>
  <c r="J419"/>
  <c r="AJ79"/>
  <c r="L393"/>
  <c r="AJ145"/>
  <c r="M355"/>
  <c r="M363" s="1"/>
  <c r="L372"/>
  <c r="AH67"/>
  <c r="AC18" i="20"/>
  <c r="AC30" s="1"/>
  <c r="AK31" s="1"/>
  <c r="AC337"/>
  <c r="AJ337" s="1"/>
  <c r="AG344"/>
  <c r="M347" i="12"/>
  <c r="AK30" i="17"/>
  <c r="Q93"/>
  <c r="W358"/>
  <c r="X358" s="1"/>
  <c r="M362" i="19"/>
  <c r="AI66"/>
  <c r="AJ66" s="1"/>
  <c r="N362"/>
  <c r="AJ53"/>
  <c r="M398"/>
  <c r="J418"/>
  <c r="J393"/>
  <c r="AJ227"/>
  <c r="J372"/>
  <c r="M418"/>
  <c r="AJ199"/>
  <c r="J373"/>
  <c r="J391"/>
  <c r="AJ251"/>
  <c r="K400"/>
  <c r="AJ141"/>
  <c r="AY9" i="13"/>
  <c r="AY10" s="1"/>
  <c r="N355" i="19"/>
  <c r="N363" s="1"/>
  <c r="O354"/>
  <c r="O337"/>
  <c r="Q213"/>
  <c r="AJ213" s="1"/>
  <c r="AG337"/>
  <c r="M393"/>
  <c r="M394" l="1"/>
  <c r="X351" i="17"/>
  <c r="X362" s="1"/>
  <c r="T361"/>
  <c r="X360"/>
  <c r="AH346" i="20"/>
  <c r="AH349" s="1"/>
  <c r="N419" i="19"/>
  <c r="L420"/>
  <c r="AJ213" i="17"/>
  <c r="AH341" s="1"/>
  <c r="AH344" s="1"/>
  <c r="AJ187" i="19"/>
  <c r="AJ134"/>
  <c r="AJ133"/>
  <c r="O363"/>
  <c r="Q364" s="1"/>
  <c r="J394"/>
  <c r="Q362"/>
  <c r="R347" i="12"/>
  <c r="U361" i="17"/>
  <c r="V361"/>
  <c r="AJ277" i="12"/>
  <c r="M420" i="19"/>
  <c r="K394"/>
  <c r="K420"/>
  <c r="J420"/>
  <c r="N372"/>
  <c r="N398"/>
  <c r="O392"/>
  <c r="O394" s="1"/>
  <c r="L394"/>
  <c r="M347"/>
  <c r="R347" s="1"/>
  <c r="R343"/>
  <c r="R348" s="1"/>
  <c r="R343" i="17"/>
  <c r="R348" s="1"/>
  <c r="M347"/>
  <c r="R347" s="1"/>
  <c r="N374" i="19"/>
  <c r="N400"/>
  <c r="N418"/>
  <c r="N392"/>
  <c r="R351" i="12"/>
  <c r="AH337" i="19"/>
  <c r="AH341" s="1"/>
  <c r="AH344" s="1"/>
  <c r="AK31" i="17"/>
  <c r="M350" i="12"/>
  <c r="R350" s="1"/>
  <c r="AH344"/>
  <c r="AH347" s="1"/>
  <c r="N393" i="19"/>
  <c r="Q355"/>
  <c r="Q354"/>
  <c r="W361" i="17"/>
  <c r="X361"/>
  <c r="M352" i="20"/>
  <c r="R352" s="1"/>
  <c r="R355" s="1"/>
  <c r="R366" i="19" l="1"/>
  <c r="V372"/>
  <c r="R353" i="12"/>
  <c r="O418" i="19"/>
  <c r="O420" s="1"/>
  <c r="X364" i="17"/>
  <c r="R372" i="19"/>
  <c r="N394"/>
  <c r="Q363"/>
  <c r="R350"/>
  <c r="N420"/>
</calcChain>
</file>

<file path=xl/comments1.xml><?xml version="1.0" encoding="utf-8"?>
<comments xmlns="http://schemas.openxmlformats.org/spreadsheetml/2006/main">
  <authors>
    <author>NEDA</author>
  </authors>
  <commentList>
    <comment ref="A45" authorId="0">
      <text>
        <r>
          <rPr>
            <b/>
            <sz val="9"/>
            <color indexed="81"/>
            <rFont val="Tahoma"/>
            <family val="2"/>
          </rPr>
          <t>NEDA:</t>
        </r>
        <r>
          <rPr>
            <sz val="9"/>
            <color indexed="81"/>
            <rFont val="Tahoma"/>
            <family val="2"/>
          </rPr>
          <t xml:space="preserve">
Duplication of project title.</t>
        </r>
      </text>
    </comment>
  </commentList>
</comments>
</file>

<file path=xl/sharedStrings.xml><?xml version="1.0" encoding="utf-8"?>
<sst xmlns="http://schemas.openxmlformats.org/spreadsheetml/2006/main" count="5617" uniqueCount="755">
  <si>
    <t>Agency Name</t>
  </si>
  <si>
    <t>NG</t>
  </si>
  <si>
    <t>GOCC/GFIs</t>
  </si>
  <si>
    <t>LGUs</t>
  </si>
  <si>
    <t>Subtotal</t>
  </si>
  <si>
    <t xml:space="preserve">Spatial Coverage
</t>
  </si>
  <si>
    <t>Region</t>
  </si>
  <si>
    <t xml:space="preserve"> </t>
  </si>
  <si>
    <t>TOTAL</t>
  </si>
  <si>
    <t>GOCC/ GFIs</t>
  </si>
  <si>
    <t>2011</t>
  </si>
  <si>
    <t>2012</t>
  </si>
  <si>
    <t>2013</t>
  </si>
  <si>
    <t>2014</t>
  </si>
  <si>
    <t>2015</t>
  </si>
  <si>
    <t>2016</t>
  </si>
  <si>
    <t>1. Organizational Outcome</t>
  </si>
  <si>
    <t>ODA Grant</t>
  </si>
  <si>
    <t>Total</t>
  </si>
  <si>
    <t>Private Sector</t>
  </si>
  <si>
    <t xml:space="preserve">B. Subsector Outcome </t>
  </si>
  <si>
    <r>
      <t>(a) Major Final Output</t>
    </r>
    <r>
      <rPr>
        <vertAlign val="subscript"/>
        <sz val="10"/>
        <rFont val="Arial"/>
        <family val="2"/>
      </rPr>
      <t>1</t>
    </r>
  </si>
  <si>
    <t>PDP Chapter</t>
  </si>
  <si>
    <t xml:space="preserve"> (i) Program/ Project</t>
  </si>
  <si>
    <r>
      <t>2. Organizational Outcome</t>
    </r>
    <r>
      <rPr>
        <vertAlign val="subscript"/>
        <sz val="10"/>
        <rFont val="Arial"/>
        <family val="2"/>
      </rPr>
      <t>2</t>
    </r>
  </si>
  <si>
    <t>(ii) Program/ Project</t>
  </si>
  <si>
    <t>(iii)Program/ Project</t>
  </si>
  <si>
    <t>(i) Program/ Project</t>
  </si>
  <si>
    <t>Investment Targets In Thousand Pesos (PhP '000)</t>
  </si>
  <si>
    <t>Program/ Project Title</t>
  </si>
  <si>
    <t>Funding Source/s</t>
  </si>
  <si>
    <t>Implementation Period</t>
  </si>
  <si>
    <t>Total  
Investment 
Targets    
    (In PhP Thousand)</t>
  </si>
  <si>
    <t>(A)</t>
  </si>
  <si>
    <t>(B)</t>
  </si>
  <si>
    <t>(D)</t>
  </si>
  <si>
    <t>(E)</t>
  </si>
  <si>
    <t>(F)</t>
  </si>
  <si>
    <t>(G)</t>
  </si>
  <si>
    <t>(H)</t>
  </si>
  <si>
    <t>(I)</t>
  </si>
  <si>
    <t>(J)</t>
  </si>
  <si>
    <r>
      <t>(b) Major Final Output*</t>
    </r>
    <r>
      <rPr>
        <vertAlign val="subscript"/>
        <sz val="10"/>
        <rFont val="Arial"/>
        <family val="2"/>
      </rPr>
      <t>2</t>
    </r>
  </si>
  <si>
    <t>(a) Major Final Output*</t>
  </si>
  <si>
    <t>Program/Project Description**</t>
  </si>
  <si>
    <t>(C)</t>
  </si>
  <si>
    <t>Status of the Program/Project
(as of December 2012)****</t>
  </si>
  <si>
    <t>Implementation of the Project will be with all the participating National Government Agencies across all the regions</t>
  </si>
  <si>
    <t xml:space="preserve">The NPS is a centalized human resource and payroll system for the entire government. 
It is a priority application within the GHRIS that is envisioned to standardize, streamline, and centralize the payroll processes of the different national government agencies. 
The GHRIS/NPS will help provide efficiency and transparency in the management of the government’s huge human resources and its associated costs.
</t>
  </si>
  <si>
    <t>2011-2015</t>
  </si>
  <si>
    <t>E-Government Fund</t>
  </si>
  <si>
    <t xml:space="preserve">As of 2012, the following have been accomplished:
•  A GHRIS prototype has been developed and was tested on the six (6) pilot agencies, i.e., DBM, COA, DOF, BTr, Department of Science and Technology (DOST)-Advanced Science and Technology and the National Computer Center;
•  The personnel concerned of the pilot agencies have been trained on the use of the system;
•  Personnel information, payroll processing information, and other necessary data have been gathered and inputted in the system;
•  A Committee on the Payroll Standardization and Rationalization has been formed and has submitted a draft on the proposed payroll standards, policies and procedures;
•  A Commercial Off the Shelf solution (COTS) was determined as the best solution to the problem; and
• A Request for Information (RFI) was conducted and suitable commercial software has been found and evaluated.
</t>
  </si>
  <si>
    <t>Nationwide/ Interregional/ Region-Specific</t>
  </si>
  <si>
    <t xml:space="preserve">Government Integrated Financial Management Information System - National Payroll System </t>
  </si>
  <si>
    <r>
      <rPr>
        <b/>
        <sz val="10"/>
        <rFont val="Arial"/>
        <family val="2"/>
      </rPr>
      <t>Department of Budget and Management (DBM</t>
    </r>
    <r>
      <rPr>
        <sz val="10"/>
        <rFont val="Arial"/>
        <family val="2"/>
      </rPr>
      <t>), together with the Department of Finance (DOF), Commission on Audit (COA),  and the Bureau of Treasury (BTr)</t>
    </r>
  </si>
  <si>
    <t>Automated facility on excise products which allows excise TPs to electronically submit ORBs for monitoring and reconciliation purposes to uncover discrepancies on declaration that will increase revenue collection.</t>
  </si>
  <si>
    <t>Regional / Inter-regional</t>
  </si>
  <si>
    <t>ODA-WB</t>
  </si>
  <si>
    <t>Completed conduct of trainings; On-going pilot testing by La Suerte Cigar and Cigarette Factory beginning October 25, 2012</t>
  </si>
  <si>
    <t xml:space="preserve">Electronic Official Registry Books (Development) </t>
  </si>
  <si>
    <t xml:space="preserve">BIR </t>
  </si>
  <si>
    <t xml:space="preserve">Revenue Regions 1 to 19                             Large Taxpayer Service                </t>
  </si>
  <si>
    <t>Consultatncy Services for a BIR Local Internal Audit Advisor</t>
  </si>
  <si>
    <t>Includes the migration/upgrading of ITS and TINVER databases from Oracle version7.3.4 to 11gR2, and consolidation of the eight (8) databases into one single database, as well as data cleansing to eliminate redundant/duplicate records/data in the said databases.  Cleanup of databases will be a contnuing effort in coordination with the Operations Group</t>
  </si>
  <si>
    <t>Region Specific</t>
  </si>
  <si>
    <t>National Office</t>
  </si>
  <si>
    <t>ODA</t>
  </si>
  <si>
    <t>Project completed on October 31, 2012; Conducted IT Audit Training on Best Practice and Technical Approach on Technology Audit on Dec. 19-20, 2012 as part of implementation of project recommendations</t>
  </si>
  <si>
    <t>Enhance ICT Connectivity</t>
  </si>
  <si>
    <t>HoR</t>
  </si>
  <si>
    <t>The project aims to maximize and enhance existing ICT resources and network connectivity in the House of Representatives to benefit the Secretariat, House Members, Congressional staff (through managed access over the Intranet) and the general public (through managed access over the Internet.) Having systems and standards for managing documents in digital formats is an essential element for improving operations of congress and also in increasing transparency and accessibility.</t>
  </si>
  <si>
    <t>2012-2014</t>
  </si>
  <si>
    <t>National Government Budget</t>
  </si>
  <si>
    <t xml:space="preserve">Funding allotment amounting PhP 28 million released, preparation of terms of reference for bidding on-going </t>
  </si>
  <si>
    <t>E-LEGIS project</t>
  </si>
  <si>
    <t>Involves the setting up of  software packages/applications, processes, ICT equipment and connectivity needed to automate the legislative process and have an integrated collection of legislative information in digital form accessible in a flexible, fast and secured manner for more effective and efficient operations, knowledge sharing, and public information and participation</t>
  </si>
  <si>
    <t xml:space="preserve">Funding allotment amounting PhP 28 million released, procurement of component hardwares is on-going </t>
  </si>
  <si>
    <t>National Government CESDP</t>
  </si>
  <si>
    <t>Produce a corps of development -oriented, competent, dedicated and honest public executives in the medium term.</t>
  </si>
  <si>
    <t>DAP</t>
  </si>
  <si>
    <t>Nationwide</t>
  </si>
  <si>
    <t>2013-2016</t>
  </si>
  <si>
    <t xml:space="preserve">120 (2013-NG)             126 (2014-NG)                    132.30 (2015-NG)        138.92 (2016-NG)                                       </t>
  </si>
  <si>
    <t>Integrity Development Review</t>
  </si>
  <si>
    <t>OMB</t>
  </si>
  <si>
    <t>Harmonization and realignment of OMB - IDR and OP - IDAP</t>
  </si>
  <si>
    <t>Network of Resident Ombudsman Coordinators</t>
  </si>
  <si>
    <t>* near completion                                     * orientation-workshop already conducted                            * piloting will commence in the middle of the 2nd quarter of 2013</t>
  </si>
  <si>
    <t>National Anti-Corruption Plan of Action</t>
  </si>
  <si>
    <t>National Government Budget and ODA</t>
  </si>
  <si>
    <t>National Government Budget and Local Government Budget</t>
  </si>
  <si>
    <t>Policy Development and Monitoring for the United Nations Convention Against Corruption</t>
  </si>
  <si>
    <t>Implementation of the 21 Point Philippine Agenda of the different branches of the Phil. Government</t>
  </si>
  <si>
    <t>For implementation</t>
  </si>
  <si>
    <t xml:space="preserve">Case Management System </t>
  </si>
  <si>
    <t>Integrated Case Management System (Phase 2 of the ISSP implementation)</t>
  </si>
  <si>
    <t>Central Office with area/sectoral offices</t>
  </si>
  <si>
    <t>Submitted to MITHI Steering Committee for evaluation</t>
  </si>
  <si>
    <t xml:space="preserve">National Government Budget </t>
  </si>
  <si>
    <t>NEDA</t>
  </si>
  <si>
    <t>Capacity Development Technical Assistance: Results Oriented Strategic Planning and Development for Inclusive Growth</t>
  </si>
  <si>
    <t>The CDTA aims to improve NEDA’s systems and capacities for development planning, investment programming, socioeconomic policy coordination and advice, and managing public investments.</t>
  </si>
  <si>
    <t>May 2011 – November 2013</t>
  </si>
  <si>
    <t>ODA Grant/Asian Development Bank (Japan Fund for Poverty Reduction)</t>
  </si>
  <si>
    <t>The following key outputs have been completed: i) results-based systems for PDP and PIP implementation, and, ii) strengthening ODA portfolio management.  Ongoing implementation of policy research agenda and staff capacity development program.</t>
  </si>
  <si>
    <t>Small-Scale Technical Assistance for Support to Policy Formulation</t>
  </si>
  <si>
    <t>The S-TA will strengthen NEDA’s capacity as lead government agency in development planning and policy formulation, including in the areas of medium-term development, investment programming and designing short-term responses to economic crises.</t>
  </si>
  <si>
    <t>September 2009 - 31 March 2012</t>
  </si>
  <si>
    <t>ODA Grant/Asian Development Bank (Technical Assistance Special Fund)</t>
  </si>
  <si>
    <t>The TA was completed on 31 March 2012, following the completion of Cost and Benefit Study on the Discounted Power Rate Scheme.</t>
  </si>
  <si>
    <t xml:space="preserve">Enhancing Capacity for the Effective Management of Official Development Assistance </t>
  </si>
  <si>
    <t>The project supported the capacity development activities for NEDA and other government agencies towards integrating ODA in support to the implementation and monitoring of the PDP and the accompanying Public Investment Program through the Effectiveness and Efficiency Review (EER) process.  Advocacy activities on harmonization and aid effectiveness, specifically the Government of the Philippines’ commitment on Paris Declaration and Accra Agenda for Action shall also be supported by the project. Moreover, the project shall continue to support the completion of the NEDA’s Web-based Programs and Projects Information Exchange System (PPIES), formerly known as ODA-Information Exchange System, as an additional tool to more effectively manage ODA.  It is envisioned that all these initiatives once implemented will strengthen NEDA and government capacities, and result in improved ODA management and effectiveness.</t>
  </si>
  <si>
    <t>January 2011 - February 2012</t>
  </si>
  <si>
    <t>The project was completed on 16 February 2012 and the pending activitieis (i.e., full completion of the development of the web-based PPIES, and support for the implementation of the UNDP CPD) are currently supported by the Successor Project.</t>
  </si>
  <si>
    <t>Sustaining the Effective and Efficient Official Development Assistance (ODA) Management and Monitoring</t>
  </si>
  <si>
    <t>The successor project will continue to, first, provide support to the management and implementation of the UNDP Country Programme Document (CPD) 2012-2016 for the Philippines which is to be implemented under the new Joint Implementation Plan (JIP) of the United Nations Development Assistance Framework (UNDAF) 2012-2018.  This includes the implementation of macro- and micro-assessment of the implementing partners (IPs) and other assurance activities as called for in the NIM guidelines to further improve the operational capacity of executing and implementing agencies in implementing UNDP-supported programs and projects.  Second, the project will further develop the web-based Programs and Projects Information Exchange System (PPIES) to include digital-mapping of ODA programs and projects to enhance monitoring and results-based management of public investment program leading to a more improved quality of investment appraisal by NEDA and the Investment Coordinating Committee (ICC).  Also improvement in the database management through PPIES will enable a robust and well-informed monitoring and assessment of the outputs of the Public Investment Program (PIP) vis-a-vis the outcomes enunciated in the Philippine Development Plan (PDP) and the Results Matrices (RM).  Lastly, the project shall also provide communication strategies for development results and knowledge management.</t>
  </si>
  <si>
    <t>February 2012 - December 2013</t>
  </si>
  <si>
    <t>ODA Grant/UNDP</t>
  </si>
  <si>
    <t xml:space="preserve">The following key outputs have been supported:  i) completion of the development of the web-based PPIES; and ii) implementation of the UNDP CPD such as the conduct of: a) orientation on International Public Sector Accounting Standards (IPSAS) and Philippine Programming Guide for National Implementation of UNDP-Supported Projects (NIM Guide); b) annual audit exercise; and c) Annual Partners' Meeting. </t>
  </si>
  <si>
    <t>Japanese Grant Aid for Human Resource Development Scholarship (JDS) Project</t>
  </si>
  <si>
    <t>The project involves the grant of Master's scholarship for government leaders who are expected to be engaged in the formulation and implementation of the country’s social and economic development policies.                                                                         The fields of study are  Public Administration, Economics, Business Administration, Information and Communications Technology and Industrial Development.</t>
  </si>
  <si>
    <t>2010-2015</t>
  </si>
  <si>
    <t>ODA Grant/AusAID</t>
  </si>
  <si>
    <t>The assessment of candidates, including interviews of
candidates for the January 2013 intake of long-term training programs, was done from May to July 2012, followed by
candidates profiling, course counseling, ADS placement, medical and visa processing. The pre-
departure briefing was heldon November 2012. Mobilization is scheduled by January 2013.</t>
  </si>
  <si>
    <t>2011-2014</t>
  </si>
  <si>
    <t>ODA Grant/JICA</t>
  </si>
  <si>
    <t>The project is in the process of selecting the twenty (20) candidates for the 11th through assessment of documentary requirements and separate personal interviews by the professors of Japanese universities and   the JDS Operating Committee members/representatives. Final acceptance, pre-travel orientation and Japanese language training, processing of travel requirements, send-off party and departure for Japan are  conducted between March to August 2013.</t>
  </si>
  <si>
    <t>Philippines-Australia Human Resource Organizational Development  Facility</t>
  </si>
  <si>
    <t>The Program has the following components: (1) Strategic Planning which includes targeting and identification of Key and Strategic Partner Organizations, the conduct of organizational assessments for these organizations, (2) Delivery of HR/OD support for Key and Strategic Partner Organizations, and (3) Research, Knowledge Synthesis, Management and Diffusion, including the facilitation of wide dissemination of learning and practices gained throughout the implementation of the Facility.</t>
  </si>
  <si>
    <t>Project EXCITE (Excellence in Governance Thru Inovation Transformation and Education)</t>
  </si>
  <si>
    <t>Regionwide</t>
  </si>
  <si>
    <t>Region X</t>
  </si>
  <si>
    <t xml:space="preserve">3 years </t>
  </si>
  <si>
    <t>No funding yet (Region 10 seeks the assistance of the Central Office to identify possible funding sources)</t>
  </si>
  <si>
    <t xml:space="preserve">Proposal Preparation Stage and Partial Detailed Engineering Architectural plans, detailed engineering plans, program of works and bill of materials for Building C of the three-building Northern Mindanao Institute of Good Governance (NMIGG) Complex were completed in 2009 by the United Architects of the Philippines-Cagayan de Oro Chapter and DPWH-10. Building C is the administration building of NMIGG complex. </t>
  </si>
  <si>
    <t>Davao Region Information Geographic Network (DR-GIN)</t>
  </si>
  <si>
    <t>To pursue a sustainable program that will instill excellence among managers in the bureaucracy through innovation, transformation and education leading, ultimately, to good governance.                                       An institute of good governance that will include the administration building, the library/exhibit building and the conference hall/seminar rooms.</t>
  </si>
  <si>
    <t>DR-GIN is a collaborative and coordinative mechanism of agency regional,offices, local government units and private sector in Davao Region that shall ensure the availability and accessibility of up-to-date, accurate and reliable information on the region's bio-geophysical and socio-economic characteristics in the form of  a web-based GIS virtual library.</t>
  </si>
  <si>
    <t>Region-specific</t>
  </si>
  <si>
    <t>Davao Region</t>
  </si>
  <si>
    <t>2013 onwards</t>
  </si>
  <si>
    <t>ODA/Local Funding Sources</t>
  </si>
  <si>
    <t>Network organized and Memorandum of Agreement (MOA) was signed among partner agencies, LGUs, SUCs and Congessmen of Davao Rgion. Some hardware components procured already. Proposal for system development is on-going.</t>
  </si>
  <si>
    <t>2011-2016</t>
  </si>
  <si>
    <t>Institutional Strengthening of Results-Based Monitoring and Evaluation (RBME) for the NEDA Implementing Agencies of the Philippines</t>
  </si>
  <si>
    <t>The TA shall provide RbME training to selected personnel of NEDA and key implementing agencies of the GOP at the regional and national levels. In particular, the TA shall cater to those responsible for performance monitoring and evaluation, project implementation and post evaluation</t>
  </si>
  <si>
    <t>19 November 2010 to 30 September 2013</t>
  </si>
  <si>
    <t xml:space="preserve">Over-all Accomplishments - 78.65%                                                             Key outputs:                   o Prepared (designed and  packaged) RbME training modules (Core, Retooling, Advocacy);                                                               o Completed conduct of 34 RbME training rounds                                            - Core Trainings (2)                  - Retooling and Advocacy Workshops for NROs (30)                         - Training for IAs implementing IFAD Projects (1)                            - Training for NEDA Central Office Staffs (1)                                               o Draft Regional Results Matrices (RRMs) and action plans (all NROs) prepared/enhanced; and                                       o Hired a consultancy firm to design, package and administer training round.                                                         o Procured training equipment.                           </t>
  </si>
  <si>
    <t>NEDA Information Network Project (NINP)</t>
  </si>
  <si>
    <t>The project is in support of the performance of NEDA's mandate, mainly in support of service delivery and knowledge management.</t>
  </si>
  <si>
    <t>2011-2017</t>
  </si>
  <si>
    <t>Ongoing implementation of Virtual Private Network, development of new inofrmation systems, acquisition of priority information and communications technology (ICT) hardware and software, which contribute to increase in  government effectiveness, accountability, ease of doing business and control of corruption.</t>
  </si>
  <si>
    <t xml:space="preserve">Building Business Friendly and Competitive LGUs           </t>
  </si>
  <si>
    <t>DILG- OSEC and LGA</t>
  </si>
  <si>
    <t>It is a package of interventions focused at enhancing local competitiveness. It supports LGUs/LGU alliances pursue strategies that enable them to assess their local economic opportunities, develop and implement their LED initiatives that will create an enabling environment for retaining businesses and attracting more investments.</t>
  </si>
  <si>
    <t>All regions</t>
  </si>
  <si>
    <t>Chapter 7</t>
  </si>
  <si>
    <t>Continuing</t>
  </si>
  <si>
    <t xml:space="preserve">BPLS is the national government’s standard for local governments to comply with when administering the granting of business permits and licenses.  This is to address the concern through the years that has consistently identified the high cost of doing business in the Philippines as a constraint to the competitiveness of the country. It is a reform initiative that is composed of: 1) simplification and standardization of BPLS for new registration and renewal (process re-engineering); 2) computerization (IT solutions); 3) Improving Customer Relations; and 4) Institutionalization of the reforms. It covers at least 480 local governments, identified as either having the most number of business establishments or as having very good potentials for generating investments in four priority sectors – agribusiness, mining, tourism and IT-BPO.
</t>
  </si>
  <si>
    <t>A total of 1,004 LGUs have been given training on how to streamline their BPLS, 474 (99%) of which are included in the priority or target LGUs . 451 of the 480 target/committed LGUs have completed their BPLS reforms or a 94% accomplishment rate, 22 are still on-going with their reforms while seven (7) have yet to start with their streamlining. 372 non-target LGUs have also completed their BPLS while 158 other LGUs are currently reforming their processes.</t>
  </si>
  <si>
    <t>Nationwide Streamlining of Business Permit and Licensing System in the Philippines</t>
  </si>
  <si>
    <t>DILG- OSEC</t>
  </si>
  <si>
    <t xml:space="preserve">The project aims to contribute to the attainment of the goal of providing potable water to entire country.  It is designed to provide water supply systems to waterless municipalities, barangays with high poverty incidence, in resettlement sites without water access, and in areas that have existing health centers without water supply systems. It will, likewise, enhance/improve local capacities of LGUs/water service providers in planning, implementation operation and management of water supply facilities in sustainable manner. </t>
  </si>
  <si>
    <t>Region-Specific</t>
  </si>
  <si>
    <t xml:space="preserve">All regions except NCR </t>
  </si>
  <si>
    <t>2010-2016</t>
  </si>
  <si>
    <t>•  251 waterless municipalities and thematic areas have already benefitted from SALINTUBIG in 2011. 55 of which are RHUs while 196 are waterless municipalities, barangays and resettlement sites. Of this 196 beneficiaries, 26 have completed water system, 106 with on-going construction, 28 on procurement/ bidding process, and 35 are into DED preparation.
• In 2012 implementation of the program, there are 172 beneficiary municipalities, of  which 8 are with on-going construction, 23 are into procurement, 93 are completing their DEDs and 48 are into FS preparation.
• For 2013, 347 Focus LGUs are among to be provided with water supply facilities under the BuB</t>
  </si>
  <si>
    <t xml:space="preserve">This is a Joint Programme (JP) of NEDA and DILG focused to 36 waterless municipalities to improve the quality of water services provided by water utilities at the local/community level and enhance their local capacities to develop, operate and manage water utilities  </t>
  </si>
  <si>
    <t>R - 2, 5, 9, 10 13</t>
  </si>
  <si>
    <t>2009-2013</t>
  </si>
  <si>
    <t>ODA Grant (UNDP- UNICEF)</t>
  </si>
  <si>
    <t xml:space="preserve">36 Target Municipalities have:                                     • Organized and trained 65 Water Users’ Associations 
• Capacitated in the preparation of their Localized Customer’s Service Codes (LCSCs) 
• Completed the Municipal Water Supply, Sewerage and Sanitation Sector Plan (MW4SP)
</t>
  </si>
  <si>
    <t>The program is designed to develop the capabilities of LGUs by helping all Newly Elected Officials effectively discharged their duties and responsibilities and be able to define their development roadmaps.</t>
  </si>
  <si>
    <t xml:space="preserve">It aims to address the concerns of marginalized and vulnerable groups through the institutionalization of gender-responsive local governance,  addressing the MDG-deficit areas in environment, food, or health of families living in the slums, and   leading the cause in addressing the concerns of the Informal Settlers, among others. </t>
  </si>
  <si>
    <t>At the end of 2016, the 95 LGUs of Region III, 67 of Region IV-A and 17 of NCR shall have crafted and implemented their respective Local Shelter Plans (LSPs) which will serve as the tool for LGUs in addressing the problems of ISFs in their area of jurisdiction, such as relocation and allocating safer and decent shelter where these ISFs will reside</t>
  </si>
  <si>
    <t>2013- 2016</t>
  </si>
  <si>
    <t>The Fund's main development objective is to identify local poverty reduction projects of focus municipalities. BuB for 2013 implementation covers 595 poorest of the poor LGUs with priority poverty reduction projects that will be implemented in 2013. BuB for 2014 National Budget, on the other hand, covers the 1,233 focus cities and municipalities that are expected to develop their Local Poverty Reduction Action Plan (LPRAP) and submit their validated priority poverty reduction projects that will be included in the 2014 budget of participating agencies.</t>
  </si>
  <si>
    <t>2012 - 2015</t>
  </si>
  <si>
    <t xml:space="preserve">Php 8,397,100,000 provided for 595 focus LGUs with priority poverty reduction projects to be implemented in 2013  </t>
  </si>
  <si>
    <t xml:space="preserve">It is the incentive provided to LGUs that have lived-up to standard performance in the areas of internal housekeeping, business competitiveness, disaster and environment  preparedness, law and order  and  public safety, and  in advancing the primacy of  public  welfare and well-being of basic  sectors.The incentive comes in the form of counterpart  funding for local development projects of qualified LGUs conferred with the following:                        -  Seal  of  Good  House keeping                              -  Seal of  Disaster Preparedness                                              -  Seal  of  LGU Competiveness                                                           -  Seal of  Environmental Protection                                                    -  Seal  of  Public Safety                                                              -   Seal of  Social  Protection  for Basic Sectors                                                                                                - Gawad Pamana ng Lahi                                                   - Model Child-Friendly LGUs                                                                                                                                                                </t>
  </si>
  <si>
    <t>2011- onwards</t>
  </si>
  <si>
    <t xml:space="preserve">• The CY 2012 recipients of the Seal of Good Housekeeping are  the 60 Provinces, 107 Cities and 1,198 Municipalities                                                                                                               
• 563 LGUs (59 provinces, 74 cities, and 433 municipalities)  that have passed the SGH and GPL are provided with PCF subsidy  in 2012                                                                                                                                                                                                        
</t>
  </si>
  <si>
    <t xml:space="preserve">This Department is committed to aggressively scale up interventions to elevate the practice of governance that values transparency, accountability , participation and performance into an institutionalized status. As part of this commitment, the Thematic Performance Audits are developed or in the pipeline, in cognizance of the wide range of interests where performance at the local level is highly essential. </t>
  </si>
  <si>
    <t>2013- onwards</t>
  </si>
  <si>
    <t xml:space="preserve">Thematic Seals i.e. Seal of Business Competitiveness, Seal of Disaster Preparedness, Seal of Environmental Preparedness, Seal of Law &amp; Order &amp; Public Safety, Seal of Social Protection for the Basic Sector, are for development and pilot-testing in 2013. </t>
  </si>
  <si>
    <t>It is a system of granting economic benefits and other incentives to Lupong Tagapamayapa for their exemplary performance in settling disputes within their community. Annually, there are 58 Regional Awardees, 4 National Awardees, and 8 Runners-Up.</t>
  </si>
  <si>
    <t>All regions except ARMM</t>
  </si>
  <si>
    <t>12 National Awardees (4 national and 8 runners-up).   Php 2.5 M from OSEC and BLGS funds was utilized for the cash awards, plaques and admin cost in the assessment and on-site validation</t>
  </si>
  <si>
    <t>It is a pioneering award program on innovation and excellence in local governance, recognizing best local government practices and facilitating their adoption in more communities in the country. 10 LGUs are conferred with the award annually.</t>
  </si>
  <si>
    <t>10  LGU Innovative Projects  for 2012 were awarded last March 18, 2013</t>
  </si>
  <si>
    <t>It is a social accountability mechanism created to set-in CSO-citizens’ active participation in planning, monitoring and evaluation of local government service delivery and program implementation as a means to make LGUs more responsive and efficient.</t>
  </si>
  <si>
    <t xml:space="preserve">229 LGUs (63 provinces, 73 cities and 93 municipalities) have CSO partners in policy/project development and service delivery and monitoring of programs/projects. </t>
  </si>
  <si>
    <t>The program measures the performance of LGUs  and provides information on their capacities and limitations in the delivery of essential public services.</t>
  </si>
  <si>
    <r>
      <t xml:space="preserve">1,591 LGUs (excluding ARMM) have submitted their respective State of Local Governance Report or SLGR for 2011.  Based on their submitted SLGRs, 21% or  335 LGUs (43 provinces, 64 cities and 228 municipalities) have attained “High” performance index rating; 24% or 382 (15 provinces, 46 cities and 321 municipalities) have attained “Fair” rating; and the remaining 55% or 874 (16 provinces, 26 cities &amp; 831 municipalities) have “Poor” rating.                                                                                          
</t>
    </r>
    <r>
      <rPr>
        <b/>
        <u/>
        <sz val="10"/>
        <rFont val="Arial"/>
        <family val="2"/>
      </rPr>
      <t/>
    </r>
  </si>
  <si>
    <r>
      <rPr>
        <b/>
        <u/>
        <sz val="10"/>
        <rFont val="Arial"/>
        <family val="2"/>
      </rPr>
      <t xml:space="preserve">LED for LGUs  </t>
    </r>
    <r>
      <rPr>
        <b/>
        <i/>
        <sz val="10"/>
        <rFont val="Arial"/>
        <family val="2"/>
      </rPr>
      <t xml:space="preserve"> </t>
    </r>
    <r>
      <rPr>
        <i/>
        <sz val="10"/>
        <rFont val="Arial"/>
        <family val="2"/>
      </rPr>
      <t xml:space="preserve">   </t>
    </r>
    <r>
      <rPr>
        <sz val="10"/>
        <rFont val="Arial"/>
        <family val="2"/>
      </rPr>
      <t xml:space="preserve">                                                        .
• Developed LED for LGUs Web-based Portal 
• 128 LGUs with Local Revenue Codes;
• 8 LGUs capacitated in the preparation of LED Action Plans;
• Conducted Forum on LEIPO Powering on LED attended by 47 LGUs; and                                                             
• Conducted Knowledge sharing in LED: Local Executive Dialogue on LED attended by 30 LGUs         
</t>
    </r>
    <r>
      <rPr>
        <b/>
        <u/>
        <sz val="10"/>
        <rFont val="Arial"/>
        <family val="2"/>
      </rPr>
      <t>Accelerating Integrated Local Development Through Cluster Approach</t>
    </r>
    <r>
      <rPr>
        <b/>
        <sz val="10"/>
        <rFont val="Arial"/>
        <family val="2"/>
      </rPr>
      <t xml:space="preserve">       </t>
    </r>
    <r>
      <rPr>
        <sz val="10"/>
        <rFont val="Arial"/>
        <family val="2"/>
      </rPr>
      <t xml:space="preserve">                                                                    
-  Inventory of ILC success stories and  collection of  around 50 LGU alliances/ILC Profiles
-  Conduct FGD  and organizational capacity assessment using  the  McKinsey tool   in  10 LGU Alliances/ILC
- Conduct of  “Framework  Planning Session on   Institutionalizing  Inter –LGU  Cooperation” 
</t>
    </r>
  </si>
  <si>
    <r>
      <t xml:space="preserve">- </t>
    </r>
    <r>
      <rPr>
        <b/>
        <sz val="10"/>
        <rFont val="Arial"/>
        <family val="2"/>
      </rPr>
      <t xml:space="preserve">Component 2: Laying the Foundation: Track 1A </t>
    </r>
    <r>
      <rPr>
        <sz val="10"/>
        <rFont val="Arial"/>
        <family val="2"/>
      </rPr>
      <t xml:space="preserve">-  47.73% of cities and 37.15% of muns conducted My  First 100 Days in Office.                                                                 - </t>
    </r>
    <r>
      <rPr>
        <b/>
        <sz val="10"/>
        <rFont val="Arial"/>
        <family val="2"/>
      </rPr>
      <t>Component 2: Track 1B</t>
    </r>
    <r>
      <rPr>
        <sz val="10"/>
        <rFont val="Arial"/>
        <family val="2"/>
      </rPr>
      <t xml:space="preserve">: 88.19% of cities and 92.60% of muns have prepared their Executive Legislative Agenda (ELA)                                                                </t>
    </r>
    <r>
      <rPr>
        <b/>
        <sz val="10"/>
        <rFont val="Arial"/>
        <family val="2"/>
      </rPr>
      <t>- Component 3: Building Alliances</t>
    </r>
    <r>
      <rPr>
        <sz val="10"/>
        <rFont val="Arial"/>
        <family val="2"/>
      </rPr>
      <t xml:space="preserve">:  34 LGUs  have conducted provincial alliance building workshops or 42.50% of total number of provinces.                                                                      </t>
    </r>
    <r>
      <rPr>
        <b/>
        <sz val="10"/>
        <rFont val="Arial"/>
        <family val="2"/>
      </rPr>
      <t>- Component 4: Sharpening the Saw</t>
    </r>
    <r>
      <rPr>
        <sz val="10"/>
        <rFont val="Arial"/>
        <family val="2"/>
      </rPr>
      <t xml:space="preserve">:  Enhances  the capacities of local officials and functionaries' in 40 LGUs  on Gender and Development (GAD) planning, strategic planning and development planning; 11 Mayors  enrolled in the Masters of Development and Management and Governance Program, and;  250  LGU Officials  attended the Metamorphic  Leadership Program  for Municipal Treasurers and Assessors                                         </t>
    </r>
  </si>
  <si>
    <r>
      <rPr>
        <b/>
        <u/>
        <sz val="10"/>
        <rFont val="Arial"/>
        <family val="2"/>
      </rPr>
      <t>Institutionalizing Gender-Responsive Governance</t>
    </r>
    <r>
      <rPr>
        <b/>
        <sz val="10"/>
        <rFont val="Arial"/>
        <family val="2"/>
      </rPr>
      <t xml:space="preserve">                                                 .   </t>
    </r>
    <r>
      <rPr>
        <sz val="10"/>
        <rFont val="Arial"/>
        <family val="2"/>
      </rPr>
      <t xml:space="preserve">87% or 1,389 of the 1,590 LGUs have organized GAD Focal Point, 62% or 989 have GAD Plan and Budget and 21% or 330 have GAD database.                                                                                        </t>
    </r>
    <r>
      <rPr>
        <u/>
        <sz val="10"/>
        <rFont val="Arial"/>
        <family val="2"/>
      </rPr>
      <t xml:space="preserve"> </t>
    </r>
    <r>
      <rPr>
        <b/>
        <u/>
        <sz val="10"/>
        <rFont val="Arial"/>
        <family val="2"/>
      </rPr>
      <t>MDG FACES</t>
    </r>
    <r>
      <rPr>
        <sz val="10"/>
        <rFont val="Arial"/>
        <family val="2"/>
      </rPr>
      <t xml:space="preserve">   .                                                                          • 53 Recipient Cities •1,738 children with improved quality of life • 1,776 Women with enhanced capacity • 1,738 Family MDG Covenants completed • 46 QRMs and Demonstration Project developed and implemented             </t>
    </r>
    <r>
      <rPr>
        <sz val="10"/>
        <color indexed="10"/>
        <rFont val="Arial"/>
        <family val="2"/>
      </rPr>
      <t xml:space="preserve">                                                                         </t>
    </r>
  </si>
  <si>
    <t>CSOs/People's Participation Partnership Program</t>
  </si>
  <si>
    <t>Gawad Galing Pook Program</t>
  </si>
  <si>
    <t>Lupong Tagapamayapa Incentives and Awards</t>
  </si>
  <si>
    <t xml:space="preserve">Local Governance Performance Management System (LGPMS) </t>
  </si>
  <si>
    <t>Local Government Thematic Performance Audits and Seals</t>
  </si>
  <si>
    <t>Performance Challenge Fund</t>
  </si>
  <si>
    <t>Support to Bottom-Up Budget Process and Empowerment Fund</t>
  </si>
  <si>
    <r>
      <t xml:space="preserve">Support Program  to LGUs in addressing the well-being requirements of the marginalized and vulnerable groups.                                                                       </t>
    </r>
    <r>
      <rPr>
        <sz val="10"/>
        <color indexed="10"/>
        <rFont val="Arial"/>
        <family val="2"/>
      </rPr>
      <t xml:space="preserve">                                                                    </t>
    </r>
  </si>
  <si>
    <t xml:space="preserve">Support to Informal Settler Families  </t>
  </si>
  <si>
    <t>Newly-elected Officials Program</t>
  </si>
  <si>
    <t>MDG-F 1919 Enhancing Access to and Provision of Water Services with the Active Participation of the Poor</t>
  </si>
  <si>
    <t>Provision for Potable Water Supply (Sagana at Ligtas na Tubig sa Lahat Program and Bottom Up Budgeting)</t>
  </si>
  <si>
    <t>House of Representatives</t>
  </si>
  <si>
    <t>Program/Project Description****</t>
  </si>
  <si>
    <t>16-Point Agenda Addressed</t>
  </si>
  <si>
    <t>PDP Results Matrices (RM) Critical Indicators Addressed</t>
  </si>
  <si>
    <t>Expected  Date of Presentation to the ICC</t>
  </si>
  <si>
    <t>Investment Targets In Thousand Pesos (PhP '000)******</t>
  </si>
  <si>
    <t>EER Prioritization Rank**</t>
  </si>
  <si>
    <t>EER Prioritzation Score***</t>
  </si>
  <si>
    <t>Nationwide/ Interregional/ Region-Specific*****</t>
  </si>
  <si>
    <t xml:space="preserve">LGUs******* </t>
  </si>
  <si>
    <t>LGUs*******</t>
  </si>
  <si>
    <t>(D )</t>
  </si>
  <si>
    <t>(K)</t>
  </si>
  <si>
    <t>(L)</t>
  </si>
  <si>
    <t>(M)</t>
  </si>
  <si>
    <t>(N)</t>
  </si>
  <si>
    <t>(O)</t>
  </si>
  <si>
    <t>(P)</t>
  </si>
  <si>
    <t>(Q)</t>
  </si>
  <si>
    <t>( R )</t>
  </si>
  <si>
    <t>(S)</t>
  </si>
  <si>
    <t>(T)</t>
  </si>
  <si>
    <t>(U)</t>
  </si>
  <si>
    <t>(V)</t>
  </si>
  <si>
    <t>(W)</t>
  </si>
  <si>
    <t>(X)</t>
  </si>
  <si>
    <t>(Y)</t>
  </si>
  <si>
    <t>(Z)</t>
  </si>
  <si>
    <t>(AA)</t>
  </si>
  <si>
    <t>(AB)</t>
  </si>
  <si>
    <t>(AC)</t>
  </si>
  <si>
    <t>(AD)</t>
  </si>
  <si>
    <t>(AE)</t>
  </si>
  <si>
    <t>(AF)</t>
  </si>
  <si>
    <t>(AG)</t>
  </si>
  <si>
    <t>Societal Goal: Rule of Law and Effective Governance</t>
  </si>
  <si>
    <t>I. Sector Outcome 1: Responsiveness of government increased, people's trust in government rebuilt, and democratic institutions strengthened</t>
  </si>
  <si>
    <t xml:space="preserve">Agenda 2: Government that prioritizes jobs, that empower people and provide them with opportunities to rise above poverty; Agenda 8: well-considered policies and programs that build capacity and create opportunity among the poor and marginalized; Agenda 12: professional, motivated and energized bureaucracies   </t>
  </si>
  <si>
    <t>Surveys on net approval and trust ratings of Congress and its officials;  Open Budget Index score; Governance indicator on voice and accountability; Laws enacted</t>
  </si>
  <si>
    <t xml:space="preserve">A. Subsector /Intermediate Outcome : Effective and efficient legislation, oversight and constituent representation </t>
  </si>
  <si>
    <t>same as above</t>
  </si>
  <si>
    <t>Surveys on net approval and trust ratings of Congress and its officials;  Open Budget Index score improved; Governance indicator on voice and accountability; Laws enacted</t>
  </si>
  <si>
    <t>Surveys on net approval and trust ratings of Congress and its officials;  Open Budget Index score; Governance indicator on voice and accountability; Laws enacted; committee reports</t>
  </si>
  <si>
    <t xml:space="preserve">(i) Program: HRep ICT/Digitization Program  </t>
  </si>
  <si>
    <t xml:space="preserve">Projects:  </t>
  </si>
  <si>
    <t>Electronic Legislative Information System (e-LEGIS) project</t>
  </si>
  <si>
    <t>(ii) Program: Legislative Infrastructure and Facilities Modernization Program</t>
  </si>
  <si>
    <t>The aim of the Legislative Infrastructure and Facilities Development Program is to provide a suitable working environment for Members of Congress, congress secretariat and staff, and facilitate public access and collaboration in the various aspects of legislation and oversight, while ensuring the security and safety of its residents and visitors. Issues, such as ICT connectivity, adequate hosting facilities, especially in the reception of foreign dignitaries, and adequate parking space for Members and visitors will also be addressed.</t>
  </si>
  <si>
    <t>Session Hall upgrading</t>
  </si>
  <si>
    <t>Renovation of session  hall, reconfiguration of physical layout and seating arrangement to accommodate the increased numbers of representatives, upgrading of lighting, audio and video equipments, and introduction of Congress Broadcasting Center – non-stop coverage of  Session proceedings (similar to Cable Satellite Public Affairs Network – C-SPAN)</t>
  </si>
  <si>
    <t>Upgrading and/or acquisition of electrical and mechanical facilities complying with Clean Air Act and Fire Code and other government  policies</t>
  </si>
  <si>
    <t xml:space="preserve">Upgrading of electrical wiring system, airconditioning, lighting, elevators, fire alarm systems  </t>
  </si>
  <si>
    <t>Upgrading and/or acquisition  of electronics and communications facilities</t>
  </si>
  <si>
    <t>Upgrading of  electronics and communication facilities to work on Voice over Internet  Protocol (VOIP) Environment,  installation of additional telephone lines, sound systems, audio and video recording,  and videoconferencing facilities</t>
  </si>
  <si>
    <t>South and North lounge expansion</t>
  </si>
  <si>
    <t>Extension/expansion of south and north lounges adjacent to the main session hall to accommodate the increase in House members, and provide venue for meetings/consultations while members are in plenary session</t>
  </si>
  <si>
    <t>Expansion (additional floors)  of  the  HRep Northwing and Southwing Buildings</t>
  </si>
  <si>
    <t xml:space="preserve">Construction of additional floors at the Northwing and  Southwing buildings for additional  conference and office  rooms </t>
  </si>
  <si>
    <t>Site development, and parking area expansion and upgrading</t>
  </si>
  <si>
    <t>Widening and concreting of driveway, and construction of multi-level steel parking building</t>
  </si>
  <si>
    <t>Legislative Library and Archives completion, provision of furnishings and Automation System</t>
  </si>
  <si>
    <t>Completion of building and site development, and interior furnishing, cabling, digitization and automation</t>
  </si>
  <si>
    <t>PRIB/Media Building and  ICTS Building</t>
  </si>
  <si>
    <t>Construction and furnishing of office space for information and communcation system, and public and media relations</t>
  </si>
  <si>
    <t>Security Door Access System for all buildings (Building  Management  System)</t>
  </si>
  <si>
    <t xml:space="preserve">Automated security door access system  </t>
  </si>
  <si>
    <t>Structural analysis, evaluation &amp; rehabilitation of HRep complex</t>
  </si>
  <si>
    <t>Total Investment Targets</t>
  </si>
  <si>
    <t>Office of the Ombudsman</t>
  </si>
  <si>
    <t>Revalidated 2011 - 2016 Public Investment Program</t>
  </si>
  <si>
    <t>EER Prioritization Score***</t>
  </si>
  <si>
    <t>Spatial Coverage</t>
  </si>
  <si>
    <t>16 Point Agenda Addressed</t>
  </si>
  <si>
    <t>Expected Date of Presentation to the ICC</t>
  </si>
  <si>
    <t>(in thousand Pesos)</t>
  </si>
  <si>
    <t>Nationwide/Interregional/Region Specific*****</t>
  </si>
  <si>
    <t>LGUs******</t>
  </si>
  <si>
    <t>(R)</t>
  </si>
  <si>
    <t>Societal Goal</t>
  </si>
  <si>
    <t xml:space="preserve"> Eradicate extreme poverty and hunger</t>
  </si>
  <si>
    <t xml:space="preserve"> I. Sector Outcome</t>
  </si>
  <si>
    <t xml:space="preserve">    Effective and Transparent Governance</t>
  </si>
  <si>
    <t xml:space="preserve">    Practiced</t>
  </si>
  <si>
    <t xml:space="preserve">    A. Subsector Outcome</t>
  </si>
  <si>
    <t xml:space="preserve">         I. Organizational Outcome</t>
  </si>
  <si>
    <t xml:space="preserve">            Reduced incidence of graft and corruption</t>
  </si>
  <si>
    <t xml:space="preserve">            in the bureaucracy</t>
  </si>
  <si>
    <t xml:space="preserve">            a. Corruption Prevention Services</t>
  </si>
  <si>
    <t xml:space="preserve">                i. Integrity Development Review</t>
  </si>
  <si>
    <t>1 - 9</t>
  </si>
  <si>
    <t>Good governance and rule of law</t>
  </si>
  <si>
    <t xml:space="preserve">                ii. Policy Development and Monitoring</t>
  </si>
  <si>
    <t xml:space="preserve">                    for the United Nations Convention</t>
  </si>
  <si>
    <t xml:space="preserve">                    Against Corruption</t>
  </si>
  <si>
    <t xml:space="preserve"> II. Sector Outcome</t>
  </si>
  <si>
    <t xml:space="preserve">     Rule of Law strengthened</t>
  </si>
  <si>
    <t xml:space="preserve">            a. Investigation and Prosecution</t>
  </si>
  <si>
    <t xml:space="preserve">                Services</t>
  </si>
  <si>
    <t xml:space="preserve">                i. Case Management System</t>
  </si>
  <si>
    <t>1 and 5</t>
  </si>
  <si>
    <t>Chapter 7: Good Governance and the Rule of Law</t>
  </si>
  <si>
    <t>Chpater 7 : Good Governance and the Rule of Law</t>
  </si>
  <si>
    <t>Chapter 7 : Good Governance and the Rule of Law</t>
  </si>
  <si>
    <t>Development Academy of the Philippines</t>
  </si>
  <si>
    <r>
      <rPr>
        <b/>
        <sz val="10"/>
        <rFont val="Arial"/>
        <family val="2"/>
      </rPr>
      <t>Societal Goal:</t>
    </r>
    <r>
      <rPr>
        <sz val="10"/>
        <rFont val="Arial"/>
        <family val="2"/>
      </rPr>
      <t xml:space="preserve"> Inclusive Growth and Poverty Reduction</t>
    </r>
  </si>
  <si>
    <t>I. Sector Outcome: 7A Effective and transparent government practiced</t>
  </si>
  <si>
    <r>
      <t xml:space="preserve">A. Subsector / Intermediate Outcome 1: </t>
    </r>
    <r>
      <rPr>
        <b/>
        <sz val="10"/>
        <rFont val="Arial"/>
        <family val="2"/>
      </rPr>
      <t>Democratic institutions strengthened</t>
    </r>
  </si>
  <si>
    <t>1.Organizational Outcome: Enhanced capacities of key development actors in implementing priority programs, and of agencies of government in fulfilling their mandates of serving the citizenry</t>
  </si>
  <si>
    <t>(a) Major Final Output 1: Education &amp; Training Services</t>
  </si>
  <si>
    <t>(i) National Government Career Executive Service Development Program</t>
  </si>
  <si>
    <t>Contributes to Agenda Nos. 11 and 12</t>
  </si>
  <si>
    <t>Government effectivess rating</t>
  </si>
  <si>
    <t>(ii) Public Sector Human Resource Management and Development Plan (Execution Phase)</t>
  </si>
  <si>
    <t>Formulate a comprehensive human resource management and development program for the Philippine public sector and initiate execution of priority components - Staff Upgrading Program and Staff Support Program</t>
  </si>
  <si>
    <t>(iii) Strengthening the Capacity of Indigenous Peoples Mandatory Representatives in the Local Legislative Councils</t>
  </si>
  <si>
    <t>DAP and NCIP</t>
  </si>
  <si>
    <t xml:space="preserve">Enable Indigenous Peoples (IPs) to participate fully in decision-making, especially at the local level, on matters that affect them </t>
  </si>
  <si>
    <t>Mindanao</t>
  </si>
  <si>
    <t>(b) Major Final Output 2: Research &amp; Technical Assistance Services</t>
  </si>
  <si>
    <t>(i) Harmonization of  National Government Performance Monitoring, Information and Reporting and Systems (Technical Secretariat)</t>
  </si>
  <si>
    <t>DAP under AO 25 IATF</t>
  </si>
  <si>
    <t>Establish a unified and integrated Results-Based Performance Management System (RBPMS) framework as basis for government performance monitoring, evaluating and reporting, including entitlements to performance incentives</t>
  </si>
  <si>
    <r>
      <t xml:space="preserve">B. Subsector / Intermediate Outcome 2: </t>
    </r>
    <r>
      <rPr>
        <b/>
        <sz val="10"/>
        <rFont val="Arial"/>
        <family val="2"/>
      </rPr>
      <t>Enhanced citizen/customer satisfaction of NGA's, GOCC's and LGU's</t>
    </r>
  </si>
  <si>
    <t xml:space="preserve">1. Organizational Outcome: Enhanced confidence of government agencies to fulfill the requirements of and exceed the citizen and customer expectations   </t>
  </si>
  <si>
    <t>(a) Major Final Output 1: Training Services</t>
  </si>
  <si>
    <t>GQMC/ DAP</t>
  </si>
  <si>
    <t>Institutionalize international standards-based (ISO 9001) Quality Management System as a mechanism to promote citizen/customer-focused public service delivery and achieve quality-related objectives</t>
  </si>
  <si>
    <t>Agenda Nos 9 and 12</t>
  </si>
  <si>
    <t>(i) Government Quality Management Program (GQMP)</t>
  </si>
  <si>
    <t>(b) Major Final Output 2: Technical Assistance Services</t>
  </si>
  <si>
    <t>Bureau of Internal Revenue</t>
  </si>
  <si>
    <t>Program/ Project Description****</t>
  </si>
  <si>
    <t>Program/Project Title</t>
  </si>
  <si>
    <t>Societal Goal:  Macroeconomy Services Improved</t>
  </si>
  <si>
    <t>I.  Sector Outcome1:  Stable macroeconomy achieved</t>
  </si>
  <si>
    <t xml:space="preserve">a. Subsector/Intermediate Outcome: </t>
  </si>
  <si>
    <t>1. Organizational Outcome1</t>
  </si>
  <si>
    <t>(a) MFO 1 - Collection and Assessment</t>
  </si>
  <si>
    <t>BIR</t>
  </si>
  <si>
    <t>Commitment to Transformational Leadership #s 1-5</t>
  </si>
  <si>
    <t>Gov't. Service #12</t>
  </si>
  <si>
    <t>* RR 1-19
* LTS
* National Office</t>
  </si>
  <si>
    <t>Economy #6</t>
  </si>
  <si>
    <t>e-Linkage with BTR CIP</t>
  </si>
  <si>
    <t>Exchange of Information (EOI) allows effective information exchange with other jurisdictions with adequate provisions safeguarding the rights of taxpayers and third parties.</t>
  </si>
  <si>
    <t>Ch. 7:  Good Governance</t>
  </si>
  <si>
    <t>Corruption curbed;
Government effectiveness</t>
  </si>
  <si>
    <t>A web-based system that automates the generation of barcoded CAR which will reduce revenue losses for all kinds of one-time transactions.  The database that will be build for the system will be used in the conduct of pre and post audit of said transactions by concerned BIR offices</t>
  </si>
  <si>
    <t>Commitment to Transformational Leadership # 1</t>
  </si>
  <si>
    <t>*Corruption curbed;
*Government effectiveness; 
*Ease of doing business</t>
  </si>
  <si>
    <t xml:space="preserve">A mobile application system for the Revenue Collection Officers (RCOs) that enables for mobile receipting of tax returns filed, tax payments received, repoting of tax collections deposited with AGDB and the generation of collection reports. </t>
  </si>
  <si>
    <t>II.  Sector Outcome2:  Good Governance</t>
  </si>
  <si>
    <t>a. Subsector/Intermediate Outcome: Effective, efficient, transparent, accountable public service delivered</t>
  </si>
  <si>
    <t>(a) Major Final Output 1</t>
  </si>
  <si>
    <t>(i) Human Resource Information System Enhancement and Roll-out</t>
  </si>
  <si>
    <t>HRIS was established in connection with the objective of the BIR to establish a fully-automated HRIS which will allow better utilization and management of BIR personnel resources as well as enhance the work efficiency by providing fast and easy access to comprehensive, complete, and integrated human resource data</t>
  </si>
  <si>
    <t xml:space="preserve">*Government effectiveness
</t>
  </si>
  <si>
    <t>(ii)  Enhancement of Employee Self-Service (ESS) and Roll-out</t>
  </si>
  <si>
    <t>(iii) e-Learning</t>
  </si>
  <si>
    <t>e-Learning comprises all forms of electronically supported learning and teaching.  The information and communication systems, whether networked or not, serve as specific media to implement the learning process.</t>
  </si>
  <si>
    <t>(iv)  Contact Center ng Bayan (Expansion)</t>
  </si>
  <si>
    <t>(v) eLounges©</t>
  </si>
  <si>
    <t>The eLounge facility was established to provide taxpayers with free electronic medium to access the Bureau's web services, thereby enabling them to electronically file returns and pay taxes due thereon, apply TIN, download forms, obtain online information, and avail of other e-Services available</t>
  </si>
  <si>
    <t>Interregional</t>
  </si>
  <si>
    <t>Regions 1-19</t>
  </si>
  <si>
    <t>(vi) Re-registration of Taxpayers thru Taxpayer Registration Information Update (TRIU)</t>
  </si>
  <si>
    <t xml:space="preserve">Facility that allows taxpayers to update their taxpayer information.  This will include linkages with third parties including National Statistics Office (NSO), Government Service Insurance System (GSIS), Social Security System (SSS), Securities and Exchange Commission (SEC), Land Transportation Office (LTO), Professional Regulation Commission (PRC), Insurance Commission (IC), among others, as sources for the information identification of new registrants and updates of existing taxpayers data.  </t>
  </si>
  <si>
    <t>b. Subsector/Intermediate Outcome: Corruption curbed</t>
  </si>
  <si>
    <t xml:space="preserve">(i) Procurement Management System Pocurement, Payment, Inventory and Distribution Monitoring System                           </t>
  </si>
  <si>
    <t>This system will automate and integrate the processes (procurement, payment, inventory and distribution monitoring) for a more efficient and effective delivery of services and compliant with existing procurement, budgeting, accounting and auditing laws, rules and regulations.</t>
  </si>
  <si>
    <t>c. Subsector Outcome 2:  Access to information and participation in governance improved.</t>
  </si>
  <si>
    <t>(i) Development of Online System for  Transfer Tax Transaction (Phase 2) CIP</t>
  </si>
  <si>
    <t>Provides for the online filing of transfer tax transactions.  The system has capability for automated computation of tax due and acceptance of tax payments.  It interfaces with eCAR by providing inputs for the generation and issuance of CAR with barcode for transfer of ownership of real properties presented to LRA/RD; and maintenance and update of the Zonal Valuation Database.</t>
  </si>
  <si>
    <t>(b) Major Final Output 2: Improved Information Communications Technology</t>
  </si>
  <si>
    <t>(i) Information Security - Implementation and Capacity Building Project (pilot)©</t>
  </si>
  <si>
    <t xml:space="preserve">*Corruption curbed;
*Government effectiveness; 
</t>
  </si>
  <si>
    <t>(ii) Capacity Building and Implementation (Expansion)©</t>
  </si>
  <si>
    <t xml:space="preserve">Government effectiveness
</t>
  </si>
  <si>
    <t>(iii) Security Monitoring Tools</t>
  </si>
  <si>
    <t>Implementation of the Enterprise Security Architecture (ESA) framework design of the BIR which aims to enhance and strengthen the information security governance and security management practices of the Bureau.  This is to ensure that confidentiality, integrity and availability of information owned by and entrusted to the Bureau are protected.</t>
  </si>
  <si>
    <t>TPI and External Linkages Third Party Information System Linkages</t>
  </si>
  <si>
    <t>Development of Electronic Certificate Authorizing Registration (eCAR) System (Phase 1)</t>
  </si>
  <si>
    <t>Chapter 7:  Good Governance and the Rule of Law</t>
  </si>
  <si>
    <t>Chapter 7: Good Governance and the  Rule of Law</t>
  </si>
  <si>
    <r>
      <t>1.Organizational Outcome</t>
    </r>
    <r>
      <rPr>
        <vertAlign val="subscript"/>
        <sz val="10"/>
        <rFont val="Arial"/>
        <family val="2"/>
      </rPr>
      <t xml:space="preserve">1: </t>
    </r>
    <r>
      <rPr>
        <sz val="10"/>
        <color indexed="8"/>
        <rFont val="Arial"/>
        <family val="2"/>
      </rPr>
      <t>Transparent, participatory, and accountable legislative, oversight and representation processes and outcomes achieved</t>
    </r>
  </si>
  <si>
    <r>
      <t>(a) Major Final Output*</t>
    </r>
    <r>
      <rPr>
        <vertAlign val="subscript"/>
        <sz val="10"/>
        <rFont val="Arial"/>
        <family val="2"/>
      </rPr>
      <t>1:</t>
    </r>
    <r>
      <rPr>
        <sz val="10"/>
        <color indexed="8"/>
        <rFont val="Arial"/>
        <family val="2"/>
      </rPr>
      <t xml:space="preserve"> Evidenced-based legislation, and increased participation, transparency and accountability in legislation, oversight and representation processes</t>
    </r>
    <r>
      <rPr>
        <sz val="10"/>
        <color indexed="8"/>
        <rFont val="Arial"/>
        <family val="2"/>
      </rPr>
      <t xml:space="preserve"> </t>
    </r>
  </si>
  <si>
    <t>Chapter 7: Good Gpvernance and the Rule of Law</t>
  </si>
  <si>
    <t>Mobile Revenue Collection Officers System</t>
  </si>
  <si>
    <t>Societal Goal: Inclusive Growth and Poverty Reduction</t>
  </si>
  <si>
    <t>Sector Outcome: Effective and transparent Governance practiced</t>
  </si>
  <si>
    <t>Department of Justice</t>
  </si>
  <si>
    <t>Program/Project Description</t>
  </si>
  <si>
    <t>Sector Outcome: Enhanced Access to Justice</t>
  </si>
  <si>
    <t>Organizational Outcome: Enhanced transparency, accountability, effectiveness, expediency and access in the administration of justice</t>
  </si>
  <si>
    <t>Major Final Output 1: Law enforcement and corrections services</t>
  </si>
  <si>
    <t>DOJ-OSEC</t>
  </si>
  <si>
    <t>Integrated ICT-based database of critical information in the justice system mainly cases and crimes</t>
  </si>
  <si>
    <t>7 and 9</t>
  </si>
  <si>
    <t>COMELEC</t>
  </si>
  <si>
    <t>To improve the institutitonal and organizational capacity and accountability for the COMELEC for managing and implementing modernized and credible electoral processes</t>
  </si>
  <si>
    <t>Develop the project management capacity of the senior staff to enable them to effectively manage the preparation for and implementation of an automated election system (AES)</t>
  </si>
  <si>
    <t>Upgrade the IT skills of the central and field office personnel to support the requirements of the AES</t>
  </si>
  <si>
    <t>Streamline the systems and  structures of the main office to be more responsive to the requirements of the AES</t>
  </si>
  <si>
    <t>To resolve election contest cases in an efficient, transparent and credible manner</t>
  </si>
  <si>
    <t>Compile and publish COMELEC promulgated decisions starting from 2007 cases</t>
  </si>
  <si>
    <t>Improve and automate documents and case management system</t>
  </si>
  <si>
    <t>Pending proceedings and contest cases will be resolved not later than one (1) year before the  conduct of the next succeeding elections</t>
  </si>
  <si>
    <t>To make voter education more effective and far reaching by decentralizing the conduct thereof and improving the quality of education materials</t>
  </si>
  <si>
    <t>Produce a template on Voter Education Handout and Classroom Voting Kit for distribution to schools</t>
  </si>
  <si>
    <t>Produce a Training Module on Voter Education for Teachers</t>
  </si>
  <si>
    <t>Improve the capacity of field offices to conduct voter education in their respective jurisdiction</t>
  </si>
  <si>
    <t>To harmonize all election laws, rules and regulations through the passage of a new Omnibus Election Code that is complete, updated, clear and responsive to the requirements of an automated election system</t>
  </si>
  <si>
    <t>Form the TWG who will  revised Omnibus Election Code</t>
  </si>
  <si>
    <t>Draft a revised Omnibus Election Code for submission to Congress</t>
  </si>
  <si>
    <t>Start lobbying for the passage of the revised Omnibus Election Code (a new bill)</t>
  </si>
  <si>
    <t>To make the field offices more autonomous on procurement and personnel matters to promote efficiency and effectiveness in responding to the needs of the employees and stakeholders</t>
  </si>
  <si>
    <t>Delegate to the REDs the authority to procure office supplies and non-accountable forms in the region</t>
  </si>
  <si>
    <t>Authorize the REDs to act on selected personnel matters including approval of leave applications, reassignment and reshuffling of field personnel, appointment of election officers, except lawyer position, within their respective regions</t>
  </si>
  <si>
    <t>To establish a modern competency-based Human Resource Management System</t>
  </si>
  <si>
    <t>Develop a competency-based Recruitment System</t>
  </si>
  <si>
    <t>Customize the Performance Evaluation System (PES) based on the 2010 PES requirement of the CSC and strengthen the existing Program on Awards and Incentives for Service Excellence (PRAISE) of the Commission</t>
  </si>
  <si>
    <t>Improve employees' salary and compensation; and establish an employees' welfare and assistance program to boost their morale</t>
  </si>
  <si>
    <t>Develop an organizational structure and position reclassification that meets the current needs of the Commission</t>
  </si>
  <si>
    <t>Establish a COMELEC Academy to strengthen manpower development and enhance professionalism and competence of personnel</t>
  </si>
  <si>
    <t>Establish a policy on gender development</t>
  </si>
  <si>
    <t>Establish on policy on knowledge steering both local and international</t>
  </si>
  <si>
    <t>To enhance the IT capability of COMELEC to support the conduct of modernized, efficient, transparent and credible election and election adjudication</t>
  </si>
  <si>
    <t>Develop and establish an Information Systems Strategic Plan (ISSP) in order to achieve integrated and streamlined systems aiming to give more efficient and quality service to the Commission and the stakeholders</t>
  </si>
  <si>
    <t>Set-up adequate and fully-functional ICT facilities to ensure efficient technological supports services in the conduct of modernized electoral exercises and office processes</t>
  </si>
  <si>
    <t>To strengthen ICT (Information and Communication Technology)-capable personnel in their pursuit of supporting modernized elections</t>
  </si>
  <si>
    <t>Upgrade qualification standards in the selection of filed personnel by including IT proficiency</t>
  </si>
  <si>
    <t>Expand the ITD organizational structure to include 44 new ICT plantilla positions at the Main office, 16 upgraded plantilla positions at the Regional offices and 111 upgraded plantilla positions at the OPES level</t>
  </si>
  <si>
    <t>Implement a sustainable training program for main and field personnel on IT proficiency</t>
  </si>
  <si>
    <t>To enhance the accountability and transparency of COMELEC management and operation</t>
  </si>
  <si>
    <t>Conduct an integrity development review and adopt an integrity development action plan</t>
  </si>
  <si>
    <t>Strengthen the Internal Audit Office for the permanent monitoring of various programs affecting accountabilities, responsibilities and values formation</t>
  </si>
  <si>
    <t>To enhance a strong and continuing partnership with external stakeholders domestic and international</t>
  </si>
  <si>
    <t>Increase stakeholders' participation in the formulation and implementation of policies, rules and regulations, programs on issues affecting them</t>
  </si>
  <si>
    <t>Improve the efficiency and efficacy of COMELEC's services to its public clientele by responding effectively and efficiently to the complaints, suggestions and recommendations of stakeholders gathered through feedback mechanisms</t>
  </si>
  <si>
    <t>An annual capacity-building program already in place for implementation even during off-election period for various stakeholders and deputies</t>
  </si>
  <si>
    <t>To construct COMELEC's own main building and field offices for improved morale, efficiency and independence</t>
  </si>
  <si>
    <t>Complete the construction of a new COMELEC building</t>
  </si>
  <si>
    <t>Complete an integrated COMELEC Office in 5 regions to house Regional Election Director's Office (REDO), Office of Provincial Election Supervisor (OPES) and Office of the City Election Officer (OCEO)</t>
  </si>
  <si>
    <t>Investment Targets in Thousand Pesos            (PhP '000)******</t>
  </si>
  <si>
    <t>Investment Targets in Thousand Pesos           (PhP '000)******</t>
  </si>
  <si>
    <t>Investment Targets in Thousand Pesos          (PhP '000)******</t>
  </si>
  <si>
    <t>Nationwide/ Interregional/ Region- Specific*****</t>
  </si>
  <si>
    <t>Organizational Outcome: Enhanced transparency, accountability, effectiveness, expediency and access in the administration of Justice</t>
  </si>
  <si>
    <t>NBI</t>
  </si>
  <si>
    <t>Vital ICT infrastructure including biometric information system</t>
  </si>
  <si>
    <t>BUCOR</t>
  </si>
  <si>
    <t>Various ICT systems for improved inmate custody and rehabilitation</t>
  </si>
  <si>
    <t>PPA</t>
  </si>
  <si>
    <t>Various ICT systems for improved offender supervision and rehabilitation</t>
  </si>
  <si>
    <t>Facility to temporarily house and prepare offenders for social reintegration</t>
  </si>
  <si>
    <t>Initial establishment cost pursuant to EO 45 s. 2011, designating DOJ as Competition Authority</t>
  </si>
  <si>
    <t>5 &amp; 9</t>
  </si>
  <si>
    <t>Initial establishment cost pursuant to RA 10175, the Cybercrime Prevention Act</t>
  </si>
  <si>
    <t>Major Final Output 2: Legal Services</t>
  </si>
  <si>
    <t>(i) ICT support projects</t>
  </si>
  <si>
    <t>PAO</t>
  </si>
  <si>
    <t>ICT infrastructure for improved legal assistance and services for the public</t>
  </si>
  <si>
    <t>OSG</t>
  </si>
  <si>
    <t>ICT infrastructure for improved legal services for government agencies</t>
  </si>
  <si>
    <t>OGCC</t>
  </si>
  <si>
    <t>ICT infrastructure for improved legal services for government corporations</t>
  </si>
  <si>
    <t>(ii) Justice Research and Training Institute</t>
  </si>
  <si>
    <t>Facility for integrated research and capacity development for the justice system</t>
  </si>
  <si>
    <t>(iii) Fully operationalize the Office for Alternative Dispute Resolution</t>
  </si>
  <si>
    <t>Establishment cost as attached agency with full staffing complement pursuant to RA RA 9285</t>
  </si>
  <si>
    <t xml:space="preserve">TOTAL INVESTMENT FOR DOJ </t>
  </si>
  <si>
    <t xml:space="preserve">SUPREME COURT OF THE PHILIPPINES </t>
  </si>
  <si>
    <t>(ii) Livelihood and skills training center for parolees/probationers/ pardonees</t>
  </si>
  <si>
    <t>(iii) Establishment of the Office for Competition</t>
  </si>
  <si>
    <t>(iv) Establishment of Office for the Cybercrime</t>
  </si>
  <si>
    <t>I. Sector Outcome 1</t>
  </si>
  <si>
    <t>A. Subsector /Intermediate Outcome :</t>
  </si>
  <si>
    <t>1.Organizational Outcome</t>
  </si>
  <si>
    <t>Enhanced Transparency, Integrity, Independence, Effectiveness and Efficiency of the Judiciary</t>
  </si>
  <si>
    <t>(a) MAJOR FINAL OUTPUT 1</t>
  </si>
  <si>
    <t>Integrity Institutionalized and Public Trust and Credibility Restored</t>
  </si>
  <si>
    <t xml:space="preserve"> (i) Comprehensive evaluation of the Action Program for Judicial Reform (APJR)</t>
  </si>
  <si>
    <t xml:space="preserve">Supreme Court of the Philippines </t>
  </si>
  <si>
    <t>To take stock of the experience on its 12-year implementation with respect to original objectives and to evaluate achievements under its 6 components.  Aims to determine the results, effectiveness, relevance, sustainability and lessons learned from all activities, initiatives and interventions.  And to provide feedback to the judicial leadership on the results and impact of the Program.</t>
  </si>
  <si>
    <t>(ii) Establishment of an Internal Affairs Office</t>
  </si>
  <si>
    <t>(iii)  2nd National Survey on the Users' Experience and Perception of the Judiciary</t>
  </si>
  <si>
    <t>Aims to generate statistically robust and representative data to enable comparison with the data generated by the first survey which  was conducted in 2005.  This survey uses the same methodology, sampling framework, survey instruments as the first survey.  This is one of the closing activites of the JRSP.</t>
  </si>
  <si>
    <t>(iv) Implementation of the Integrity Development Action Plan</t>
  </si>
  <si>
    <t>Compilation of findings, results and recommendations of all Integrity Development Reviews in the SC, appellate courts and the trial courts, together with implementation plan and strategies</t>
  </si>
  <si>
    <t>Project's objective is to promote equitable access to ajustice and its efficient enforcements for all, especially the poor and disadvangaged sectors.  This builds upon the achievements of 2 previous EU projects: Access to Justice for the Poor and EU-PHL Justice Support Programme.  It has 3 components: Enhancing Accessibiolity, Fighting Impunity and Enhancing Accountability.  SC implements this together with DOJ, DILG and DSWS with their respective attached agencies</t>
  </si>
  <si>
    <t>(b) MAJOR FINAL OUTPUT 2</t>
  </si>
  <si>
    <t>Improved Systems in the Judiciary</t>
  </si>
  <si>
    <t>(i) Implementation of the automated Enterprise Information Systems Plan or EISP (23 Components)</t>
  </si>
  <si>
    <t>This is the comprehensive Plan for the ICT Development Program of the Judiciary.  It has 23 component systems.</t>
  </si>
  <si>
    <t>*Judiciary Case Management System (JCMS) - Component No. 1          * the Supreme Court did not distribute the amount per year.</t>
  </si>
  <si>
    <t>Intended to manage the entire life of a case from filing, through appeals until final decision at the SC.  All case info, including evidence and documents such as pleadings and notices are handled.  To be distributed to all levels of the Judiciary for use of justices and judges in decision-making.</t>
  </si>
  <si>
    <t>(ii) Provision of required ICT equipment and facilities for Judiciary ICT Development Program</t>
  </si>
  <si>
    <t>*Various procurement activities for ICT hardware</t>
  </si>
  <si>
    <t xml:space="preserve">*Conduct of the needs-assessment activities to study the necessity of decentralizing functions of the SC in support of its administrative supervision over trial courts </t>
  </si>
  <si>
    <t>Continuation of the decentralization program of the Judiciary - to decentralize certain administrative and financial management functions to improve the service delivery for judges and court personnel</t>
  </si>
  <si>
    <t>All Judicial Regions</t>
  </si>
  <si>
    <t>(iii) National Justice Information System (NJIS)</t>
  </si>
  <si>
    <t>To provide a facility or hub for the sharing of vital and relevant information by and among justice sector agencies</t>
  </si>
  <si>
    <t>(iv) Justice Sector Coordinating Council (JSCC)</t>
  </si>
  <si>
    <t>Establish a coordinating mechanism for efficient communication and coordination among justice sector agencies</t>
  </si>
  <si>
    <t>Justice Sector Agencies</t>
  </si>
  <si>
    <t>(c) MAJOR FINAL OUTPUT 3</t>
  </si>
  <si>
    <t>(i) Automated Case Management and Information Systems (CMIS)</t>
  </si>
  <si>
    <t>*Enhancement of the SC2MS software for small claims cases</t>
  </si>
  <si>
    <t>To address the bugs and other outstanding software-related concerns relative to the effectivity and use of the software program by court personnel and the OCA</t>
  </si>
  <si>
    <t>Nationwide (all first level courts)</t>
  </si>
  <si>
    <t>*Development of the JCMS - as a major and priority component of the EISP</t>
  </si>
  <si>
    <t>A component of JCMS. See JCMS program/project description</t>
  </si>
  <si>
    <t xml:space="preserve">*Integration of existing CMIS programs into the JCMS </t>
  </si>
  <si>
    <t xml:space="preserve">*Development of the SC Case Management Information System (CMIS) </t>
  </si>
  <si>
    <t>SC-CMIS is the case management component for the Supreme Court in the JCMS</t>
  </si>
  <si>
    <t>*Enhancement of Court of Appeals (CA) CMIS (Manila Station)</t>
  </si>
  <si>
    <t>CA-CMIS is the case management component of the JCMS</t>
  </si>
  <si>
    <t>Manila</t>
  </si>
  <si>
    <t>*Quezon City e-Courts Project: Development of CMIS for QC Courts</t>
  </si>
  <si>
    <t>CMIS component for trial courts to be piloted in Quezon City</t>
  </si>
  <si>
    <t>Quezon City</t>
  </si>
  <si>
    <t>(ii) Court Docket Decongestion</t>
  </si>
  <si>
    <t>*Implementation of the Case Decongestion and Delay Reduction Program (CDDRP) in hi-caseload courts</t>
  </si>
  <si>
    <t>Project aims to reduce the caseload of these courts by 10-15% after recommendations of the diagnostic audit are complied with.  It will also identify the needs and difficulty of the judges and personnel in disposing of their cases.  The development and use of a Docket Management Plan for each court is one of the major outputs of the Project.</t>
  </si>
  <si>
    <t>Top 17 Courts with Highest Caseloads</t>
  </si>
  <si>
    <t>*Sustainability of CDDRP Outputs</t>
  </si>
  <si>
    <t>To sustain the benefits and gains of the CDDRP after implementation period, particularly the Docket Management Plan</t>
  </si>
  <si>
    <t>Top 17 Courts with Highest Caseloadds</t>
  </si>
  <si>
    <t>(iii) Enhanced Justice on Wheels (EJOW) Program</t>
  </si>
  <si>
    <t>(iv) Enhanced Litigation Processes and Rules of Court for Prompt Judicial Action</t>
  </si>
  <si>
    <t xml:space="preserve">* Guidelines for Litigation in Quezon City Courts </t>
  </si>
  <si>
    <t>The guidelines provide enhanced rules of procedure, modified specific requirements and new time periods aimed to shorten the litigation process of cases</t>
  </si>
  <si>
    <t>*Judicial Affidavit Rule (A.M. No. 12-8-8-SC, effective 1 January 2013)</t>
  </si>
  <si>
    <t>One of the features of the Guidelines for Quezon City Courts that was designed to shorten the trial period.  This was rolled out to all other courts.</t>
  </si>
  <si>
    <t>Nationwide (all courts)</t>
  </si>
  <si>
    <t>*Review and enhancement of the Rule of Procedure for Small Claims Cases</t>
  </si>
  <si>
    <t>To make the Rule nore responsive and effective in small claims and cases to enhance access thereto by court users</t>
  </si>
  <si>
    <t>*Review and revision of the Rules on Civil Procedure</t>
  </si>
  <si>
    <t>(d) MAJOR FINAL OUTPUT 4</t>
  </si>
  <si>
    <t>Improved and Sustainable Court Infrastructure Program</t>
  </si>
  <si>
    <t>*Manila Hall of Justice</t>
  </si>
  <si>
    <t>Design and construction of a hall of justice to house all the trial courts in Manila (approx. 108 branches)</t>
  </si>
  <si>
    <t xml:space="preserve">*Court of Appeals Buildings in Cebu City and Cagayan de Oro City </t>
  </si>
  <si>
    <t xml:space="preserve">To provide CA Visayas and CA Mindanao  their own lot and building </t>
  </si>
  <si>
    <t xml:space="preserve">Cebu City/Cagayan De Oro City </t>
  </si>
  <si>
    <t>(e) MAJOR FINAL OUTPUT 5</t>
  </si>
  <si>
    <t>Efficient and Effective Human Resources</t>
  </si>
  <si>
    <t xml:space="preserve">(i) 18-Year Human Resource Development Program </t>
  </si>
  <si>
    <t>*Creation of Professional Career Tracks for adjudication (Justices and Judges), Technical Staff (COCs, BCCs, Interpreters, Legal Researchers, etc), and Administrative ang Support Staff</t>
  </si>
  <si>
    <t>(ii) Rationalizing the creation of courts by Congress</t>
  </si>
  <si>
    <t>(iii) Rationaling the Deployment of Judges</t>
  </si>
  <si>
    <t>(v) Installation of an E-Courtroom and Global Distance Learning Network at the PHILJA Center (Tagaytay City)</t>
  </si>
  <si>
    <t>Facilities to be installed at the PHILJA Development Center for continuing education and capacity building for justices and judges</t>
  </si>
  <si>
    <t>Tagaytay City</t>
  </si>
  <si>
    <t>(f) MAJOR FINAL OUTPUT 6</t>
  </si>
  <si>
    <t>Enhancing Access to Justice</t>
  </si>
  <si>
    <t>(i) Enhanced Justice on Wheels (EJOW) Project</t>
  </si>
  <si>
    <t>13 Provinces</t>
  </si>
  <si>
    <t xml:space="preserve">Total Investment </t>
  </si>
  <si>
    <r>
      <t xml:space="preserve">Update and revise the current COMELEC Code of Conduct/ Ethical Standards, in consultation with COMELEC personnel and in consonance with RA 6713 (COMELEC Manual Code of Conduct/ Ethical Standards; Administrative Rules and Regulations and Office </t>
    </r>
    <r>
      <rPr>
        <b/>
        <sz val="10"/>
        <color indexed="8"/>
        <rFont val="Arial"/>
        <family val="2"/>
      </rPr>
      <t>Decorum</t>
    </r>
    <r>
      <rPr>
        <sz val="10"/>
        <color indexed="8"/>
        <rFont val="Arial"/>
        <family val="2"/>
      </rPr>
      <t xml:space="preserve"> </t>
    </r>
  </si>
  <si>
    <r>
      <t xml:space="preserve">(v) Justice For All Project: </t>
    </r>
    <r>
      <rPr>
        <b/>
        <sz val="10"/>
        <rFont val="Arial"/>
        <family val="2"/>
      </rPr>
      <t>Enhancing</t>
    </r>
    <r>
      <rPr>
        <sz val="10"/>
        <rFont val="Arial"/>
        <family val="2"/>
      </rPr>
      <t xml:space="preserve"> Accessibility and </t>
    </r>
    <r>
      <rPr>
        <b/>
        <sz val="10"/>
        <rFont val="Arial"/>
        <family val="2"/>
      </rPr>
      <t>Accountability</t>
    </r>
    <r>
      <rPr>
        <sz val="10"/>
        <rFont val="Arial"/>
        <family val="2"/>
      </rPr>
      <t xml:space="preserve">, </t>
    </r>
    <r>
      <rPr>
        <b/>
        <sz val="10"/>
        <rFont val="Arial"/>
        <family val="2"/>
      </rPr>
      <t xml:space="preserve">Fighting Impunity </t>
    </r>
    <r>
      <rPr>
        <sz val="10"/>
        <rFont val="Arial"/>
        <family val="2"/>
      </rPr>
      <t xml:space="preserve">(emphasis supplied)                             </t>
    </r>
    <r>
      <rPr>
        <i/>
        <sz val="10"/>
        <rFont val="Arial"/>
        <family val="2"/>
      </rPr>
      <t xml:space="preserve">                                                            *Supreme Court did not distribute the target investment per year as it will be determined by the EU workplan </t>
    </r>
  </si>
  <si>
    <r>
      <t xml:space="preserve">(iii) Justice For All Project: </t>
    </r>
    <r>
      <rPr>
        <b/>
        <sz val="10"/>
        <rFont val="Arial"/>
        <family val="2"/>
      </rPr>
      <t>Enhancing Accessibility</t>
    </r>
    <r>
      <rPr>
        <sz val="10"/>
        <rFont val="Arial"/>
        <family val="2"/>
      </rPr>
      <t xml:space="preserve"> and Accountability, Fighting Impunity (emphasis supplied)   </t>
    </r>
    <r>
      <rPr>
        <i/>
        <sz val="10"/>
        <rFont val="Arial"/>
        <family val="2"/>
      </rPr>
      <t>* Also a PPA under MFO 1</t>
    </r>
  </si>
  <si>
    <t>Program/Project</t>
  </si>
  <si>
    <t>Program/ Project Description**</t>
  </si>
  <si>
    <t>Expected  Date of Presentation to the ICC 
(if ICC-able)</t>
  </si>
  <si>
    <t>Investment Targets In Thousand Pesos (PhP '000)*****</t>
  </si>
  <si>
    <t>Regional/ Interregional/ Region-Specific</t>
  </si>
  <si>
    <t>Total (2013-2016)</t>
  </si>
  <si>
    <t>( P )</t>
  </si>
  <si>
    <t>Inclusive Growth and Poverty Reduction</t>
  </si>
  <si>
    <t xml:space="preserve">I. Sector Outcome </t>
  </si>
  <si>
    <t>A.Intermediate Outcome</t>
  </si>
  <si>
    <t>Accountable, Transparent, Participative and Effective Local Governance</t>
  </si>
  <si>
    <t>Local Government  Capacity Development Services</t>
  </si>
  <si>
    <t xml:space="preserve">II. Sector Outcome </t>
  </si>
  <si>
    <t>Access to Social Goods and Services Improved (Chapter 5)</t>
  </si>
  <si>
    <t xml:space="preserve">A. Intermediate Outcome: </t>
  </si>
  <si>
    <t>Quality, Adequacy and Accessibility of Infrastructure Facilities and Services Enhanced</t>
  </si>
  <si>
    <t>(a) Major Final Output</t>
  </si>
  <si>
    <t>B. WATER</t>
  </si>
  <si>
    <t>(iii) Enhanced Access to Water Services by the Poor Through Participatory Water Governance</t>
  </si>
  <si>
    <t>This Scaling-up Project focus to the 10 Municipalities in Regions 10 and 11 to improve the quality of water services provided by water utilities at the local/community level and enhance their local capacities to develop, operate and manage water utilities  and increase awareness on water governance</t>
  </si>
  <si>
    <t>R-10, 11</t>
  </si>
  <si>
    <t>Agenda 8</t>
  </si>
  <si>
    <t xml:space="preserve">III. Sector Outcome </t>
  </si>
  <si>
    <t>Effective and Transparent Governance Practiced (Chapter 7)</t>
  </si>
  <si>
    <t xml:space="preserve">A. Subsector Outcome </t>
  </si>
  <si>
    <t>Responsiveness of NGAs, GOCCs, and LGUs increased</t>
  </si>
  <si>
    <t>(i) Support to Bottom-Up Budget Process and Empowerment Fund</t>
  </si>
  <si>
    <t xml:space="preserve">The objective of this intervention is to identify local poverty reduction projects of focus municipalities (595 mun in 2013 and 1,233 mun for 2014) with CSO participation.  CSOs are engaged in the process to enable them to participate in governance and benefit from inclusive and sustainable socio-economic development and sound political system in their communities and the broader society.  </t>
  </si>
  <si>
    <t>Chapters 5 and 7</t>
  </si>
  <si>
    <t>True public participation in governance when and where it matters</t>
  </si>
  <si>
    <t>(i). Newly-elected Officials Program</t>
  </si>
  <si>
    <t>Quality of LGU services meet or exceed national standards</t>
  </si>
  <si>
    <t xml:space="preserve">(ii.) Support Program  to LGUs in addressing the well-being requirements of the marginalized and vulnerable groups.                                                                                                                                           </t>
  </si>
  <si>
    <t>(b) Major Final Output 2</t>
  </si>
  <si>
    <t>Local Government  Performance Oversight and Awards and Incentives Services</t>
  </si>
  <si>
    <t>(ii) Local Government Thematic Performance Audits and Seals</t>
  </si>
  <si>
    <t>Agenda 12</t>
  </si>
  <si>
    <t xml:space="preserve">(iii) Local Governance Performance Management System (LGPMS) </t>
  </si>
  <si>
    <t>(iv). Lupong Tagapamayapa Incentives and Awards</t>
  </si>
  <si>
    <t>(v). Gawad Galing Pook Program</t>
  </si>
  <si>
    <t xml:space="preserve">Subsector Outcome </t>
  </si>
  <si>
    <t>Democratic Institutions Strengthened</t>
  </si>
  <si>
    <t>(a) Major Final Outputs</t>
  </si>
  <si>
    <t>(i). CSOs/People's Participation Partnership Program</t>
  </si>
  <si>
    <t xml:space="preserve">IV. Sector Outcome: </t>
  </si>
  <si>
    <t>Stable national security environment achieved (Chapter 9)</t>
  </si>
  <si>
    <t xml:space="preserve">A. Subsector Outcome: </t>
  </si>
  <si>
    <t>All armed conflicts brought to a permanent  and peaceful closure</t>
  </si>
  <si>
    <t>LG Capacity Development Services</t>
  </si>
  <si>
    <t>Department of the Onterior and Local Government</t>
  </si>
  <si>
    <t>Project 32</t>
  </si>
  <si>
    <t>Project 31</t>
  </si>
  <si>
    <t>Project 30</t>
  </si>
  <si>
    <t>Project 29</t>
  </si>
  <si>
    <t>Project 28</t>
  </si>
  <si>
    <t>Project 27</t>
  </si>
  <si>
    <t>Project 26</t>
  </si>
  <si>
    <t>Project 25</t>
  </si>
  <si>
    <t>Project 24</t>
  </si>
  <si>
    <t>Project 23</t>
  </si>
  <si>
    <t>Project 22</t>
  </si>
  <si>
    <t>Project 21</t>
  </si>
  <si>
    <t>Project 20</t>
  </si>
  <si>
    <t>Project 19</t>
  </si>
  <si>
    <t>Project 18</t>
  </si>
  <si>
    <t>Project 17</t>
  </si>
  <si>
    <t>Project 16</t>
  </si>
  <si>
    <t>Project 15</t>
  </si>
  <si>
    <t>Project 14</t>
  </si>
  <si>
    <t>Project 13</t>
  </si>
  <si>
    <t>Project 12</t>
  </si>
  <si>
    <t>Project 11</t>
  </si>
  <si>
    <t>Project 10</t>
  </si>
  <si>
    <t>Project 9</t>
  </si>
  <si>
    <t>Project 8</t>
  </si>
  <si>
    <t>Project 7</t>
  </si>
  <si>
    <t>Project 6</t>
  </si>
  <si>
    <t>Project 5</t>
  </si>
  <si>
    <t>Project 4</t>
  </si>
  <si>
    <t>Project 3</t>
  </si>
  <si>
    <t>Project 2</t>
  </si>
  <si>
    <t>DOJ</t>
  </si>
  <si>
    <t>National Justice Information System (NJIS)</t>
  </si>
  <si>
    <t>NCR</t>
  </si>
  <si>
    <t>ARMM</t>
  </si>
  <si>
    <t>XIII</t>
  </si>
  <si>
    <t>XII</t>
  </si>
  <si>
    <t>XI</t>
  </si>
  <si>
    <t>X</t>
  </si>
  <si>
    <t>IX</t>
  </si>
  <si>
    <t>VIII</t>
  </si>
  <si>
    <t>VII</t>
  </si>
  <si>
    <t>VI</t>
  </si>
  <si>
    <t>V</t>
  </si>
  <si>
    <t>IVB</t>
  </si>
  <si>
    <t>IVA</t>
  </si>
  <si>
    <t>III</t>
  </si>
  <si>
    <t>II</t>
  </si>
  <si>
    <t>I</t>
  </si>
  <si>
    <t>CAR</t>
  </si>
  <si>
    <t>Total
(2013-2017 and Beyond)</t>
  </si>
  <si>
    <t>Investment Targets In Thousand Pesos (PhP '000)
(2017 and beyond)</t>
  </si>
  <si>
    <t>Investment Targets 
In Thousand Pesos (PhP '000) 
(2017 and beyond)</t>
  </si>
  <si>
    <t>Investment Targets In Thousand Pesos (PhP '000)
(2013-2016)</t>
  </si>
  <si>
    <t>Implementing Agency</t>
  </si>
  <si>
    <t>Program/Project Name</t>
  </si>
  <si>
    <t>1.  Election Administration</t>
  </si>
  <si>
    <t>2. Electoral Dispute Adjudication</t>
  </si>
  <si>
    <t>3. Voter Education</t>
  </si>
  <si>
    <t>4.  Legal Policy and Framework</t>
  </si>
  <si>
    <t>5.  Field Office Empowerment</t>
  </si>
  <si>
    <t>6. Professional Competency</t>
  </si>
  <si>
    <t>7.  Technology Capable Comelec</t>
  </si>
  <si>
    <t>8. Culture of Integrity and Accountability</t>
  </si>
  <si>
    <t>9.  Linkages with External Stakeholders</t>
  </si>
  <si>
    <t>10. Construction COMELEC Main Office Building</t>
  </si>
  <si>
    <t>Sub-total</t>
  </si>
  <si>
    <t>Total Investment Target (2013-2016)</t>
  </si>
  <si>
    <t xml:space="preserve">Toal Investment </t>
  </si>
  <si>
    <t>Total Investment (2013-2016)</t>
  </si>
  <si>
    <t>P 149,000 (2013)</t>
  </si>
  <si>
    <t>GRAND TOTAL</t>
  </si>
  <si>
    <t>Annex A+B2</t>
  </si>
  <si>
    <t>Annex B</t>
  </si>
  <si>
    <t>Annex B2</t>
  </si>
  <si>
    <t>National Office (Batasan)</t>
  </si>
  <si>
    <t>IX, X, XI, XII, CARAGA, ARMM</t>
  </si>
  <si>
    <t>Unidentified</t>
  </si>
  <si>
    <t>Central Office (OMB)</t>
  </si>
  <si>
    <t>National Office (BIR)</t>
  </si>
  <si>
    <t>IV-A</t>
  </si>
  <si>
    <t>National Office Batasan</t>
  </si>
  <si>
    <t>Unidentified*</t>
  </si>
  <si>
    <t>*includes Top 17 courts with highest caseloads, Justice Sector agencies</t>
  </si>
  <si>
    <t>National Office BIR</t>
  </si>
  <si>
    <t>Interregional Regions 1-19</t>
  </si>
  <si>
    <t>Central Office OMB</t>
  </si>
  <si>
    <t>2017 and beyond</t>
  </si>
  <si>
    <t xml:space="preserve">Total </t>
  </si>
  <si>
    <t>Region specific</t>
  </si>
  <si>
    <t>Non-CIPs</t>
  </si>
  <si>
    <t>Targets</t>
  </si>
  <si>
    <t>in PhP'000</t>
  </si>
  <si>
    <t>IV-B</t>
  </si>
  <si>
    <t>Others (coverage TBD)</t>
  </si>
  <si>
    <t>in PhP million</t>
  </si>
  <si>
    <t>Others</t>
  </si>
  <si>
    <t>Others2</t>
  </si>
  <si>
    <t>QC</t>
  </si>
  <si>
    <t xml:space="preserve">Interregional </t>
  </si>
  <si>
    <t>Others (coverage TBD)-region-specific</t>
  </si>
  <si>
    <t>Department of the Interior and Local Government</t>
  </si>
  <si>
    <t>Previous Total</t>
  </si>
  <si>
    <t>Cross Checking (DILG)</t>
  </si>
  <si>
    <t>2013-2016 Total</t>
  </si>
  <si>
    <t>projects with 2017 and beyond cost based on agency submission</t>
  </si>
  <si>
    <t>projects with  difference cost from agency submission</t>
  </si>
  <si>
    <t>specifc title of the project? Will this be considered CIP?</t>
  </si>
  <si>
    <t>PDP Results Matrices Critical Indicators Addressed</t>
  </si>
  <si>
    <t>(AH)</t>
  </si>
  <si>
    <t>(AI)</t>
  </si>
  <si>
    <t>(AJ)</t>
  </si>
  <si>
    <t>(AK)</t>
  </si>
  <si>
    <t>(AL)</t>
  </si>
  <si>
    <t>(AM)</t>
  </si>
  <si>
    <t>(AN</t>
  </si>
  <si>
    <t>(AO)</t>
  </si>
  <si>
    <t>(AP)</t>
  </si>
  <si>
    <t>(AQ)</t>
  </si>
  <si>
    <t>(AR)</t>
  </si>
  <si>
    <t>(AS)</t>
  </si>
  <si>
    <t>(AT)</t>
  </si>
  <si>
    <t>(AU)</t>
  </si>
  <si>
    <t>(AV)</t>
  </si>
  <si>
    <t>(AX)</t>
  </si>
  <si>
    <t>(AW)</t>
  </si>
  <si>
    <t xml:space="preserve">LGUs </t>
  </si>
  <si>
    <t>Continuing Investment Targets</t>
  </si>
  <si>
    <t>Overall Total</t>
  </si>
  <si>
    <t>WGI - Rule of Law</t>
  </si>
  <si>
    <t>Total
(2013-2016)</t>
  </si>
  <si>
    <t>(AY)</t>
  </si>
  <si>
    <t>National Justice Information System Phase I</t>
  </si>
</sst>
</file>

<file path=xl/styles.xml><?xml version="1.0" encoding="utf-8"?>
<styleSheet xmlns="http://schemas.openxmlformats.org/spreadsheetml/2006/main">
  <numFmts count="7">
    <numFmt numFmtId="43" formatCode="_(* #,##0.00_);_(* \(#,##0.00\);_(* &quot;-&quot;??_);_(@_)"/>
    <numFmt numFmtId="164" formatCode="#,##0,_);\(#,##0,\)"/>
    <numFmt numFmtId="165" formatCode="#,##0.0_);\(#,##0.0\)"/>
    <numFmt numFmtId="166" formatCode="_(* #,##0_);_(* \(#,##0\);_(* &quot;-&quot;??_);_(@_)"/>
    <numFmt numFmtId="167" formatCode="#,##0.000"/>
    <numFmt numFmtId="168" formatCode="_(* #,##0.000_);_(* \(#,##0.000\);_(* &quot;-&quot;??_);_(@_)"/>
    <numFmt numFmtId="169" formatCode="0.000"/>
  </numFmts>
  <fonts count="32">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vertAlign val="subscript"/>
      <sz val="10"/>
      <name val="Arial"/>
      <family val="2"/>
    </font>
    <font>
      <sz val="12"/>
      <name val="Arial"/>
      <family val="2"/>
    </font>
    <font>
      <b/>
      <u/>
      <sz val="10"/>
      <name val="Arial"/>
      <family val="2"/>
    </font>
    <font>
      <b/>
      <i/>
      <sz val="10"/>
      <name val="Arial"/>
      <family val="2"/>
    </font>
    <font>
      <i/>
      <sz val="10"/>
      <name val="Arial"/>
      <family val="2"/>
    </font>
    <font>
      <sz val="10"/>
      <color indexed="10"/>
      <name val="Arial"/>
      <family val="2"/>
    </font>
    <font>
      <u/>
      <sz val="10"/>
      <name val="Arial"/>
      <family val="2"/>
    </font>
    <font>
      <sz val="10"/>
      <color indexed="8"/>
      <name val="Arial"/>
      <family val="2"/>
    </font>
    <font>
      <b/>
      <sz val="10"/>
      <color indexed="8"/>
      <name val="Arial"/>
      <family val="2"/>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color rgb="FFFF0000"/>
      <name val="Calibri"/>
      <family val="2"/>
      <scheme val="minor"/>
    </font>
    <font>
      <sz val="12"/>
      <color theme="1"/>
      <name val="Times New Roman"/>
      <family val="1"/>
    </font>
    <font>
      <sz val="10"/>
      <color rgb="FFFF0000"/>
      <name val="Arial"/>
      <family val="2"/>
    </font>
    <font>
      <sz val="10"/>
      <color theme="1"/>
      <name val="Arial"/>
      <family val="2"/>
    </font>
    <font>
      <b/>
      <sz val="10"/>
      <color theme="1"/>
      <name val="Arial"/>
      <family val="2"/>
    </font>
    <font>
      <i/>
      <sz val="10"/>
      <color theme="1"/>
      <name val="Arial"/>
      <family val="2"/>
    </font>
    <font>
      <sz val="10"/>
      <color theme="1"/>
      <name val="Arial Narrow"/>
      <family val="2"/>
    </font>
    <font>
      <b/>
      <sz val="12"/>
      <color theme="1"/>
      <name val="Times New Roman"/>
      <family val="1"/>
    </font>
    <font>
      <sz val="12"/>
      <color rgb="FFFF0000"/>
      <name val="Times New Roman"/>
      <family val="1"/>
    </font>
    <font>
      <b/>
      <sz val="10"/>
      <color rgb="FFFF0000"/>
      <name val="Arial"/>
      <family val="2"/>
    </font>
    <font>
      <b/>
      <sz val="10"/>
      <color theme="1"/>
      <name val="Times New Roman"/>
      <family val="1"/>
    </font>
    <font>
      <sz val="12"/>
      <color theme="1"/>
      <name val="Arial"/>
      <family val="2"/>
    </font>
    <font>
      <sz val="11"/>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6"/>
        <bgColor indexed="64"/>
      </patternFill>
    </fill>
    <fill>
      <patternFill patternType="solid">
        <fgColor theme="9" tint="0.79998168889431442"/>
        <bgColor indexed="64"/>
      </patternFill>
    </fill>
    <fill>
      <patternFill patternType="solid">
        <fgColor rgb="FF7030A0"/>
        <bgColor indexed="64"/>
      </patternFill>
    </fill>
    <fill>
      <patternFill patternType="solid">
        <fgColor theme="8"/>
        <bgColor indexed="64"/>
      </patternFill>
    </fill>
    <fill>
      <patternFill patternType="solid">
        <fgColor theme="9"/>
        <bgColor indexed="64"/>
      </patternFill>
    </fill>
    <fill>
      <patternFill patternType="solid">
        <fgColor theme="5" tint="0.79998168889431442"/>
        <bgColor indexed="64"/>
      </patternFill>
    </fill>
    <fill>
      <patternFill patternType="solid">
        <fgColor rgb="FFFF33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xf numFmtId="43" fontId="2"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7" fillId="0" borderId="0" applyFont="0" applyFill="0" applyBorder="0" applyAlignment="0" applyProtection="0"/>
  </cellStyleXfs>
  <cellXfs count="1245">
    <xf numFmtId="0" fontId="0" fillId="0" borderId="0" xfId="0"/>
    <xf numFmtId="164" fontId="4" fillId="3" borderId="1" xfId="0" applyNumberFormat="1" applyFont="1" applyFill="1" applyBorder="1" applyAlignment="1">
      <alignment vertical="top" wrapText="1"/>
    </xf>
    <xf numFmtId="164" fontId="5" fillId="3" borderId="1" xfId="0" applyNumberFormat="1" applyFont="1" applyFill="1" applyBorder="1" applyAlignment="1">
      <alignment vertical="top" wrapText="1"/>
    </xf>
    <xf numFmtId="164" fontId="4" fillId="3" borderId="1" xfId="0" applyNumberFormat="1" applyFont="1" applyFill="1" applyBorder="1" applyAlignment="1">
      <alignment vertical="top"/>
    </xf>
    <xf numFmtId="0" fontId="4" fillId="3" borderId="1" xfId="0" applyFont="1" applyFill="1" applyBorder="1" applyAlignment="1">
      <alignment horizontal="left" vertical="top" wrapText="1"/>
    </xf>
    <xf numFmtId="164" fontId="5" fillId="3" borderId="1" xfId="0" applyNumberFormat="1" applyFont="1" applyFill="1" applyBorder="1" applyAlignment="1">
      <alignment vertical="top"/>
    </xf>
    <xf numFmtId="0" fontId="4" fillId="3" borderId="1" xfId="0" applyFont="1" applyFill="1" applyBorder="1" applyAlignment="1">
      <alignment horizontal="left" vertical="top"/>
    </xf>
    <xf numFmtId="43" fontId="4" fillId="3" borderId="1" xfId="1" applyFont="1" applyFill="1" applyBorder="1" applyAlignment="1">
      <alignment horizontal="right" vertical="top"/>
    </xf>
    <xf numFmtId="43" fontId="4" fillId="3" borderId="1" xfId="1" applyFont="1" applyFill="1" applyBorder="1" applyAlignment="1">
      <alignment horizontal="right" vertical="top" wrapText="1"/>
    </xf>
    <xf numFmtId="0" fontId="4" fillId="3" borderId="1" xfId="0" applyFont="1" applyFill="1" applyBorder="1" applyAlignment="1">
      <alignment vertical="top" wrapText="1"/>
    </xf>
    <xf numFmtId="164" fontId="5" fillId="3" borderId="1" xfId="0" applyNumberFormat="1" applyFont="1" applyFill="1" applyBorder="1" applyAlignment="1"/>
    <xf numFmtId="164" fontId="5" fillId="3" borderId="1" xfId="0" applyNumberFormat="1" applyFont="1" applyFill="1" applyBorder="1" applyAlignment="1">
      <alignment horizontal="center" vertical="top"/>
    </xf>
    <xf numFmtId="164" fontId="5" fillId="3" borderId="1" xfId="0" applyNumberFormat="1" applyFont="1" applyFill="1" applyBorder="1" applyAlignment="1">
      <alignment horizontal="center"/>
    </xf>
    <xf numFmtId="0" fontId="4" fillId="3" borderId="1" xfId="0" applyNumberFormat="1" applyFont="1" applyFill="1" applyBorder="1" applyAlignment="1">
      <alignment horizontal="left" vertical="top" wrapText="1"/>
    </xf>
    <xf numFmtId="0" fontId="4" fillId="3" borderId="1" xfId="0" applyFont="1" applyFill="1" applyBorder="1" applyAlignment="1"/>
    <xf numFmtId="43" fontId="5" fillId="3" borderId="1" xfId="1" applyFont="1" applyFill="1" applyBorder="1" applyAlignment="1">
      <alignment horizontal="right" vertical="top"/>
    </xf>
    <xf numFmtId="43" fontId="5" fillId="3" borderId="1" xfId="1" applyFont="1" applyFill="1" applyBorder="1" applyAlignment="1">
      <alignment horizontal="right" vertical="top" wrapText="1"/>
    </xf>
    <xf numFmtId="43" fontId="4" fillId="3" borderId="1" xfId="1" applyFont="1" applyFill="1" applyBorder="1" applyAlignment="1">
      <alignment vertical="top"/>
    </xf>
    <xf numFmtId="0" fontId="4" fillId="3" borderId="0" xfId="0" applyFont="1" applyFill="1" applyBorder="1" applyAlignment="1">
      <alignment horizontal="left"/>
    </xf>
    <xf numFmtId="164" fontId="4" fillId="3" borderId="0" xfId="0" applyNumberFormat="1" applyFont="1" applyFill="1" applyBorder="1"/>
    <xf numFmtId="164" fontId="4" fillId="3" borderId="0" xfId="0" applyNumberFormat="1" applyFont="1" applyFill="1" applyBorder="1" applyAlignment="1">
      <alignment vertical="top"/>
    </xf>
    <xf numFmtId="164" fontId="5" fillId="3" borderId="0" xfId="0" applyNumberFormat="1" applyFont="1" applyFill="1" applyBorder="1" applyAlignment="1">
      <alignment vertical="top"/>
    </xf>
    <xf numFmtId="164" fontId="5" fillId="3" borderId="0" xfId="0" applyNumberFormat="1" applyFont="1" applyFill="1" applyBorder="1"/>
    <xf numFmtId="0" fontId="4" fillId="3" borderId="0" xfId="0" applyFont="1" applyFill="1" applyBorder="1"/>
    <xf numFmtId="164" fontId="4" fillId="3" borderId="0" xfId="0" applyNumberFormat="1" applyFont="1" applyFill="1" applyBorder="1" applyAlignment="1">
      <alignment vertical="center"/>
    </xf>
    <xf numFmtId="0" fontId="4" fillId="3" borderId="0" xfId="0" applyFont="1" applyFill="1" applyBorder="1" applyAlignment="1">
      <alignment vertical="center"/>
    </xf>
    <xf numFmtId="0" fontId="5" fillId="3" borderId="1" xfId="0" applyFont="1" applyFill="1" applyBorder="1" applyAlignment="1">
      <alignment vertical="top" wrapText="1"/>
    </xf>
    <xf numFmtId="43" fontId="4" fillId="3" borderId="0" xfId="1" applyFont="1" applyFill="1" applyBorder="1" applyAlignment="1">
      <alignment vertical="top"/>
    </xf>
    <xf numFmtId="43" fontId="4" fillId="3" borderId="0" xfId="1" applyFont="1" applyFill="1" applyBorder="1" applyAlignment="1">
      <alignment horizontal="right" vertical="top"/>
    </xf>
    <xf numFmtId="43" fontId="5" fillId="3" borderId="0" xfId="1" applyFont="1" applyFill="1" applyBorder="1" applyAlignment="1">
      <alignment horizontal="right" vertical="top"/>
    </xf>
    <xf numFmtId="43" fontId="4" fillId="3" borderId="0" xfId="1" applyFont="1" applyFill="1" applyBorder="1" applyAlignment="1">
      <alignment horizontal="right" vertical="top" wrapText="1"/>
    </xf>
    <xf numFmtId="43" fontId="5" fillId="3" borderId="0" xfId="1" applyFont="1" applyFill="1" applyBorder="1" applyAlignment="1">
      <alignment horizontal="right" vertical="top" wrapText="1"/>
    </xf>
    <xf numFmtId="0" fontId="4" fillId="0" borderId="0" xfId="0" applyFont="1" applyBorder="1"/>
    <xf numFmtId="0" fontId="4" fillId="0" borderId="0" xfId="0" applyFont="1" applyBorder="1" applyAlignment="1">
      <alignment vertical="top"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9" fontId="5" fillId="3" borderId="4" xfId="7"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4" fillId="3" borderId="0" xfId="0" applyFont="1" applyFill="1" applyBorder="1" applyAlignment="1">
      <alignment horizontal="left" vertical="top" wrapText="1"/>
    </xf>
    <xf numFmtId="0" fontId="4" fillId="3" borderId="3" xfId="0" applyFont="1" applyFill="1" applyBorder="1" applyAlignment="1">
      <alignment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1" xfId="0" applyFont="1" applyFill="1" applyBorder="1" applyAlignment="1">
      <alignment horizontal="justify" vertical="top" wrapText="1"/>
    </xf>
    <xf numFmtId="0" fontId="4" fillId="3" borderId="0" xfId="0" applyFont="1" applyFill="1" applyBorder="1" applyAlignment="1">
      <alignment horizontal="justify" vertical="top" wrapText="1"/>
    </xf>
    <xf numFmtId="0" fontId="4" fillId="3" borderId="3" xfId="0" applyFont="1" applyFill="1" applyBorder="1" applyAlignment="1">
      <alignment horizontal="justify" vertical="top" wrapText="1"/>
    </xf>
    <xf numFmtId="0" fontId="4" fillId="3" borderId="7" xfId="0" applyFont="1" applyFill="1" applyBorder="1" applyAlignment="1">
      <alignment horizontal="left" vertical="top"/>
    </xf>
    <xf numFmtId="0" fontId="7" fillId="3" borderId="4" xfId="0" applyFont="1" applyFill="1" applyBorder="1" applyAlignment="1">
      <alignment horizontal="justify" vertical="top" wrapText="1"/>
    </xf>
    <xf numFmtId="0" fontId="4" fillId="3" borderId="3" xfId="0" applyFont="1" applyFill="1" applyBorder="1" applyAlignment="1">
      <alignment horizontal="justify" vertical="top" wrapText="1"/>
    </xf>
    <xf numFmtId="0" fontId="4" fillId="3" borderId="7" xfId="0" applyFont="1" applyFill="1" applyBorder="1" applyAlignment="1">
      <alignment vertical="top" wrapText="1"/>
    </xf>
    <xf numFmtId="0" fontId="4" fillId="3" borderId="8"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9" xfId="0" applyFont="1" applyFill="1" applyBorder="1" applyAlignment="1">
      <alignment horizontal="left" vertical="top" wrapText="1"/>
    </xf>
    <xf numFmtId="0" fontId="5" fillId="3" borderId="10" xfId="0" applyFont="1" applyFill="1" applyBorder="1" applyAlignment="1">
      <alignment vertical="top" wrapText="1"/>
    </xf>
    <xf numFmtId="0" fontId="4" fillId="3" borderId="10" xfId="0" applyFont="1" applyFill="1" applyBorder="1" applyAlignment="1">
      <alignment vertical="top" wrapText="1"/>
    </xf>
    <xf numFmtId="0" fontId="4" fillId="3" borderId="10" xfId="0" applyFont="1" applyFill="1" applyBorder="1" applyAlignment="1">
      <alignment horizontal="left" vertical="top" wrapText="1"/>
    </xf>
    <xf numFmtId="0" fontId="4" fillId="3" borderId="1" xfId="0" applyNumberFormat="1" applyFont="1" applyFill="1" applyBorder="1" applyAlignment="1">
      <alignment horizontal="justify" vertical="top" wrapText="1"/>
    </xf>
    <xf numFmtId="3" fontId="4" fillId="3" borderId="1" xfId="0" applyNumberFormat="1" applyFont="1" applyFill="1" applyBorder="1" applyAlignment="1">
      <alignment horizontal="left" vertical="top" wrapText="1"/>
    </xf>
    <xf numFmtId="0" fontId="4" fillId="3" borderId="10" xfId="0" applyFont="1" applyFill="1" applyBorder="1"/>
    <xf numFmtId="0" fontId="4" fillId="3" borderId="7" xfId="0" applyFont="1" applyFill="1" applyBorder="1" applyAlignment="1">
      <alignment horizontal="left"/>
    </xf>
    <xf numFmtId="0" fontId="4" fillId="3" borderId="1" xfId="0" applyNumberFormat="1" applyFont="1" applyFill="1" applyBorder="1" applyAlignment="1">
      <alignment vertical="top" wrapText="1"/>
    </xf>
    <xf numFmtId="0" fontId="4" fillId="3" borderId="9" xfId="0" applyFont="1" applyFill="1" applyBorder="1" applyAlignment="1">
      <alignment horizontal="justify" vertical="top" wrapText="1"/>
    </xf>
    <xf numFmtId="3" fontId="4" fillId="3" borderId="1" xfId="0" applyNumberFormat="1" applyFont="1" applyFill="1" applyBorder="1" applyAlignment="1">
      <alignment vertical="top" wrapText="1"/>
    </xf>
    <xf numFmtId="0" fontId="4" fillId="3" borderId="7" xfId="0" applyNumberFormat="1" applyFont="1" applyFill="1" applyBorder="1" applyAlignment="1">
      <alignmen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xf>
    <xf numFmtId="164" fontId="5" fillId="3" borderId="1" xfId="0" applyNumberFormat="1" applyFont="1" applyFill="1" applyBorder="1" applyAlignment="1">
      <alignment horizontal="center" vertical="center"/>
    </xf>
    <xf numFmtId="0" fontId="4" fillId="3" borderId="2" xfId="0" applyFont="1" applyFill="1" applyBorder="1" applyAlignment="1">
      <alignment vertical="top" wrapText="1"/>
    </xf>
    <xf numFmtId="0" fontId="4" fillId="3" borderId="3" xfId="0" applyFont="1" applyFill="1" applyBorder="1" applyAlignment="1">
      <alignment vertical="top" wrapText="1"/>
    </xf>
    <xf numFmtId="9" fontId="5" fillId="3" borderId="4" xfId="7"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3" fontId="4" fillId="2" borderId="1" xfId="0" applyNumberFormat="1" applyFont="1" applyFill="1" applyBorder="1" applyAlignment="1">
      <alignment horizontal="right" vertical="top" wrapText="1"/>
    </xf>
    <xf numFmtId="3" fontId="4" fillId="3" borderId="1" xfId="0" applyNumberFormat="1" applyFont="1" applyFill="1" applyBorder="1" applyAlignment="1">
      <alignment horizontal="left" vertical="top" wrapText="1" indent="1"/>
    </xf>
    <xf numFmtId="3" fontId="4" fillId="0" borderId="1" xfId="0" applyNumberFormat="1" applyFont="1" applyFill="1" applyBorder="1" applyAlignment="1">
      <alignment horizontal="left" vertical="top" wrapText="1"/>
    </xf>
    <xf numFmtId="3" fontId="4" fillId="2" borderId="1" xfId="0" quotePrefix="1" applyNumberFormat="1" applyFont="1" applyFill="1" applyBorder="1" applyAlignment="1">
      <alignment horizontal="left" vertical="top" wrapText="1"/>
    </xf>
    <xf numFmtId="164" fontId="5" fillId="3" borderId="1" xfId="0" applyNumberFormat="1"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xf numFmtId="0" fontId="4" fillId="0" borderId="0" xfId="0" applyFont="1" applyBorder="1" applyAlignment="1">
      <alignment horizontal="left" vertical="top" wrapText="1"/>
    </xf>
    <xf numFmtId="164"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top" wrapText="1"/>
    </xf>
    <xf numFmtId="0" fontId="5" fillId="3" borderId="4" xfId="0" applyFont="1" applyFill="1"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xf numFmtId="0" fontId="4" fillId="3" borderId="1" xfId="0" applyFont="1" applyFill="1" applyBorder="1" applyAlignment="1">
      <alignment horizontal="left"/>
    </xf>
    <xf numFmtId="0" fontId="4" fillId="3" borderId="1" xfId="0" applyFont="1" applyFill="1" applyBorder="1" applyAlignment="1">
      <alignment wrapText="1"/>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wrapText="1"/>
    </xf>
    <xf numFmtId="164" fontId="21" fillId="3" borderId="1" xfId="0" applyNumberFormat="1" applyFont="1" applyFill="1" applyBorder="1" applyAlignment="1">
      <alignment vertical="top" wrapText="1"/>
    </xf>
    <xf numFmtId="0" fontId="4" fillId="3" borderId="1" xfId="0" applyFont="1" applyFill="1" applyBorder="1" applyAlignment="1">
      <alignment horizontal="left" vertical="center"/>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43" fontId="4" fillId="3" borderId="1" xfId="5" applyFont="1" applyFill="1" applyBorder="1" applyAlignment="1">
      <alignment horizontal="right" vertical="top" wrapText="1"/>
    </xf>
    <xf numFmtId="43" fontId="5" fillId="3" borderId="1" xfId="5" applyFont="1" applyFill="1" applyBorder="1" applyAlignment="1">
      <alignment horizontal="right" vertical="top" wrapText="1"/>
    </xf>
    <xf numFmtId="0" fontId="5" fillId="3" borderId="0" xfId="0" applyFont="1" applyFill="1" applyBorder="1" applyAlignment="1">
      <alignment vertical="top" wrapText="1"/>
    </xf>
    <xf numFmtId="0" fontId="22" fillId="0" borderId="0" xfId="0" applyFont="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9" fontId="4" fillId="3" borderId="4" xfId="7"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3" fontId="4" fillId="3" borderId="1" xfId="4" applyFont="1" applyFill="1" applyBorder="1" applyAlignment="1">
      <alignment horizontal="center" vertical="center" wrapText="1"/>
    </xf>
    <xf numFmtId="165" fontId="4" fillId="0" borderId="1" xfId="4" applyNumberFormat="1" applyFont="1" applyFill="1" applyBorder="1" applyAlignment="1">
      <alignment horizontal="center" vertical="center" wrapText="1"/>
    </xf>
    <xf numFmtId="165" fontId="4" fillId="3" borderId="1" xfId="4"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43" fontId="4" fillId="3" borderId="0" xfId="4" applyFont="1" applyFill="1" applyBorder="1" applyAlignment="1">
      <alignment horizontal="center" vertical="center" wrapText="1"/>
    </xf>
    <xf numFmtId="43" fontId="5" fillId="3" borderId="0" xfId="4" applyFont="1" applyFill="1" applyBorder="1" applyAlignment="1">
      <alignment horizontal="center" vertical="center" wrapText="1"/>
    </xf>
    <xf numFmtId="0" fontId="4"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4" fillId="0" borderId="2" xfId="0" quotePrefix="1"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166" fontId="22" fillId="0" borderId="3" xfId="1" applyNumberFormat="1" applyFont="1" applyBorder="1" applyAlignment="1">
      <alignment horizontal="center" vertical="center" wrapText="1"/>
    </xf>
    <xf numFmtId="166" fontId="22" fillId="0" borderId="4" xfId="1" applyNumberFormat="1" applyFont="1" applyBorder="1" applyAlignment="1">
      <alignment horizontal="center" vertical="center" wrapText="1"/>
    </xf>
    <xf numFmtId="0" fontId="22" fillId="0" borderId="1" xfId="0" applyFont="1" applyBorder="1" applyAlignment="1">
      <alignment horizontal="center" vertical="center" wrapText="1"/>
    </xf>
    <xf numFmtId="16" fontId="22" fillId="0" borderId="1" xfId="0" quotePrefix="1" applyNumberFormat="1" applyFont="1" applyBorder="1" applyAlignment="1">
      <alignment horizontal="center" vertical="center" wrapText="1"/>
    </xf>
    <xf numFmtId="0" fontId="22" fillId="0" borderId="1" xfId="1" applyNumberFormat="1" applyFont="1" applyBorder="1" applyAlignment="1">
      <alignment horizontal="center" vertical="center" wrapText="1"/>
    </xf>
    <xf numFmtId="166" fontId="22" fillId="0" borderId="1" xfId="1" applyNumberFormat="1" applyFont="1" applyBorder="1" applyAlignment="1">
      <alignment horizontal="center" vertical="center" wrapText="1"/>
    </xf>
    <xf numFmtId="16" fontId="22" fillId="0" borderId="2" xfId="0" quotePrefix="1" applyNumberFormat="1" applyFont="1" applyBorder="1" applyAlignment="1">
      <alignment horizontal="center" vertical="center" wrapText="1"/>
    </xf>
    <xf numFmtId="0" fontId="22" fillId="0" borderId="2" xfId="1" applyNumberFormat="1" applyFont="1" applyBorder="1" applyAlignment="1">
      <alignment horizontal="center" vertical="center" wrapText="1"/>
    </xf>
    <xf numFmtId="3" fontId="22" fillId="0" borderId="3" xfId="1" applyNumberFormat="1" applyFont="1" applyBorder="1" applyAlignment="1">
      <alignment horizontal="center" vertical="center" wrapText="1"/>
    </xf>
    <xf numFmtId="2" fontId="22" fillId="0" borderId="4" xfId="1" applyNumberFormat="1" applyFont="1" applyBorder="1" applyAlignment="1">
      <alignment horizontal="center" vertical="center" wrapText="1"/>
    </xf>
    <xf numFmtId="2" fontId="22" fillId="0" borderId="3" xfId="1" applyNumberFormat="1" applyFont="1" applyBorder="1" applyAlignment="1">
      <alignment horizontal="center" vertical="center" wrapText="1"/>
    </xf>
    <xf numFmtId="2" fontId="22" fillId="0" borderId="3" xfId="0" applyNumberFormat="1" applyFont="1" applyBorder="1" applyAlignment="1">
      <alignment horizontal="center" vertical="center" wrapText="1"/>
    </xf>
    <xf numFmtId="2" fontId="22" fillId="0" borderId="4" xfId="0" applyNumberFormat="1" applyFont="1" applyBorder="1" applyAlignment="1">
      <alignment horizontal="center" vertical="center" wrapText="1"/>
    </xf>
    <xf numFmtId="0" fontId="22" fillId="0" borderId="0" xfId="0" applyFont="1"/>
    <xf numFmtId="0" fontId="23" fillId="0" borderId="0" xfId="0" applyFont="1"/>
    <xf numFmtId="0" fontId="4" fillId="3" borderId="2" xfId="0" applyFont="1" applyFill="1" applyBorder="1" applyAlignment="1">
      <alignment horizontal="left" vertical="center" wrapText="1"/>
    </xf>
    <xf numFmtId="164" fontId="4" fillId="3" borderId="1" xfId="0" applyNumberFormat="1" applyFont="1" applyFill="1" applyBorder="1" applyAlignment="1">
      <alignment horizontal="center" vertical="top"/>
    </xf>
    <xf numFmtId="0" fontId="22" fillId="3" borderId="1" xfId="0" applyFont="1" applyFill="1" applyBorder="1" applyAlignment="1">
      <alignment horizontal="center" vertical="center" wrapText="1"/>
    </xf>
    <xf numFmtId="43" fontId="22" fillId="3" borderId="1" xfId="1" applyFont="1" applyFill="1" applyBorder="1" applyAlignment="1">
      <alignment horizontal="center" vertical="center" wrapText="1"/>
    </xf>
    <xf numFmtId="0" fontId="22" fillId="3" borderId="8" xfId="0" applyFont="1" applyFill="1" applyBorder="1" applyAlignment="1">
      <alignment horizontal="center" vertical="center" wrapText="1"/>
    </xf>
    <xf numFmtId="0" fontId="24" fillId="3" borderId="1" xfId="0" applyFont="1" applyFill="1" applyBorder="1" applyAlignment="1">
      <alignment vertical="top"/>
    </xf>
    <xf numFmtId="0" fontId="24" fillId="3" borderId="1" xfId="0" applyFont="1" applyFill="1" applyBorder="1" applyAlignment="1">
      <alignment horizontal="center" vertical="top"/>
    </xf>
    <xf numFmtId="43" fontId="24" fillId="3" borderId="1" xfId="1" applyFont="1" applyFill="1" applyBorder="1" applyAlignment="1">
      <alignment vertical="top"/>
    </xf>
    <xf numFmtId="0" fontId="24" fillId="3" borderId="8" xfId="0" applyFont="1" applyFill="1" applyBorder="1" applyAlignment="1">
      <alignment vertical="top"/>
    </xf>
    <xf numFmtId="0" fontId="22" fillId="3" borderId="1" xfId="0" applyFont="1" applyFill="1" applyBorder="1" applyAlignment="1">
      <alignment vertical="top" wrapText="1"/>
    </xf>
    <xf numFmtId="0" fontId="22" fillId="3" borderId="1" xfId="0" applyFont="1" applyFill="1" applyBorder="1" applyAlignment="1">
      <alignment horizontal="center" vertical="top" wrapText="1"/>
    </xf>
    <xf numFmtId="43" fontId="22" fillId="3" borderId="1" xfId="1" applyFont="1" applyFill="1" applyBorder="1" applyAlignment="1">
      <alignment vertical="top" wrapText="1"/>
    </xf>
    <xf numFmtId="0" fontId="22" fillId="3" borderId="8" xfId="0" applyFont="1" applyFill="1" applyBorder="1" applyAlignment="1">
      <alignment vertical="top" wrapText="1"/>
    </xf>
    <xf numFmtId="0" fontId="4" fillId="3" borderId="4" xfId="0" applyFont="1" applyFill="1" applyBorder="1" applyAlignment="1">
      <alignment horizontal="left" vertical="top" wrapText="1"/>
    </xf>
    <xf numFmtId="0" fontId="22" fillId="3" borderId="4" xfId="0" applyFont="1" applyFill="1" applyBorder="1" applyAlignment="1">
      <alignment horizontal="center" vertical="top" wrapText="1"/>
    </xf>
    <xf numFmtId="0" fontId="4" fillId="3" borderId="0" xfId="0" applyFont="1" applyFill="1" applyAlignment="1">
      <alignment horizontal="justify" vertical="top"/>
    </xf>
    <xf numFmtId="0" fontId="22" fillId="3" borderId="4" xfId="0" applyFont="1" applyFill="1" applyBorder="1" applyAlignment="1">
      <alignment vertical="top" wrapText="1"/>
    </xf>
    <xf numFmtId="0" fontId="22" fillId="3" borderId="11" xfId="0" applyFont="1" applyFill="1" applyBorder="1" applyAlignment="1">
      <alignment vertical="top" wrapText="1"/>
    </xf>
    <xf numFmtId="0" fontId="22" fillId="3" borderId="0" xfId="0" applyFont="1" applyFill="1" applyBorder="1" applyAlignment="1">
      <alignment vertical="top" wrapText="1"/>
    </xf>
    <xf numFmtId="169" fontId="22" fillId="3" borderId="1" xfId="0" applyNumberFormat="1" applyFont="1" applyFill="1" applyBorder="1" applyAlignment="1">
      <alignment vertical="top" wrapText="1"/>
    </xf>
    <xf numFmtId="0" fontId="22" fillId="0" borderId="3" xfId="0" applyFont="1" applyBorder="1" applyAlignment="1">
      <alignment horizontal="center"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4" fillId="0" borderId="1" xfId="0" applyFont="1" applyBorder="1" applyAlignment="1">
      <alignment horizontal="left" vertical="top" wrapText="1"/>
    </xf>
    <xf numFmtId="0" fontId="4" fillId="3" borderId="4" xfId="0" applyFont="1" applyFill="1" applyBorder="1" applyAlignment="1">
      <alignment vertical="top" wrapText="1"/>
    </xf>
    <xf numFmtId="0" fontId="23" fillId="3" borderId="1" xfId="0" applyFont="1" applyFill="1" applyBorder="1" applyAlignment="1">
      <alignment horizontal="left" vertical="top" wrapText="1"/>
    </xf>
    <xf numFmtId="0" fontId="5" fillId="3" borderId="1" xfId="0" applyFont="1" applyFill="1" applyBorder="1" applyAlignment="1">
      <alignment horizontal="center"/>
    </xf>
    <xf numFmtId="0" fontId="5" fillId="3" borderId="1" xfId="0" applyFont="1" applyFill="1" applyBorder="1"/>
    <xf numFmtId="0" fontId="5" fillId="3" borderId="1" xfId="0" applyFont="1" applyFill="1" applyBorder="1" applyAlignment="1">
      <alignment horizontal="left"/>
    </xf>
    <xf numFmtId="0" fontId="23" fillId="3" borderId="1" xfId="0" applyFont="1" applyFill="1" applyBorder="1" applyAlignment="1">
      <alignment horizontal="center" vertical="top" wrapText="1"/>
    </xf>
    <xf numFmtId="0" fontId="23" fillId="3" borderId="8" xfId="0" applyFont="1" applyFill="1" applyBorder="1" applyAlignment="1">
      <alignment vertical="top" wrapText="1"/>
    </xf>
    <xf numFmtId="0" fontId="5" fillId="3" borderId="1" xfId="0" applyFont="1" applyFill="1" applyBorder="1" applyAlignment="1">
      <alignment horizontal="left" vertical="top" wrapText="1"/>
    </xf>
    <xf numFmtId="168" fontId="23" fillId="3" borderId="1" xfId="1" applyNumberFormat="1" applyFont="1" applyFill="1" applyBorder="1" applyAlignment="1">
      <alignment vertical="top" wrapText="1"/>
    </xf>
    <xf numFmtId="169" fontId="23" fillId="3" borderId="1" xfId="0" applyNumberFormat="1" applyFont="1" applyFill="1" applyBorder="1" applyAlignment="1">
      <alignment vertical="top" wrapText="1"/>
    </xf>
    <xf numFmtId="0" fontId="23" fillId="3" borderId="1" xfId="0" applyFont="1" applyFill="1" applyBorder="1" applyAlignment="1">
      <alignment vertical="top" wrapText="1"/>
    </xf>
    <xf numFmtId="167" fontId="23" fillId="3" borderId="1" xfId="0" applyNumberFormat="1" applyFont="1" applyFill="1" applyBorder="1" applyAlignment="1">
      <alignment vertical="top" wrapText="1"/>
    </xf>
    <xf numFmtId="165" fontId="5" fillId="0" borderId="1" xfId="4" applyNumberFormat="1" applyFont="1" applyFill="1" applyBorder="1" applyAlignment="1">
      <alignment horizontal="center" vertical="center" wrapText="1"/>
    </xf>
    <xf numFmtId="0" fontId="5" fillId="3" borderId="0" xfId="0" applyFont="1" applyFill="1" applyBorder="1" applyAlignment="1">
      <alignment horizontal="center" vertical="top" wrapText="1"/>
    </xf>
    <xf numFmtId="0" fontId="5" fillId="3" borderId="12" xfId="0" applyFont="1" applyFill="1" applyBorder="1" applyAlignment="1">
      <alignment horizontal="center" vertical="center" wrapText="1"/>
    </xf>
    <xf numFmtId="9" fontId="5" fillId="3" borderId="5" xfId="7"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3" xfId="0" applyFont="1" applyFill="1" applyBorder="1" applyAlignment="1">
      <alignment vertical="top" wrapText="1"/>
    </xf>
    <xf numFmtId="0" fontId="5" fillId="3" borderId="1" xfId="0" applyFont="1" applyFill="1" applyBorder="1" applyAlignment="1">
      <alignment horizontal="center" vertical="top" wrapText="1"/>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22" fillId="3" borderId="10" xfId="0" applyFont="1" applyFill="1" applyBorder="1" applyAlignment="1">
      <alignment horizontal="left" vertical="top" wrapText="1"/>
    </xf>
    <xf numFmtId="0" fontId="22"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wrapText="1"/>
    </xf>
    <xf numFmtId="0" fontId="4"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9" fontId="4" fillId="3" borderId="4" xfId="7" applyFont="1" applyFill="1" applyBorder="1" applyAlignment="1">
      <alignment horizontal="center" vertical="center" wrapText="1"/>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0" borderId="15" xfId="0" applyFont="1" applyBorder="1" applyAlignment="1">
      <alignment vertical="top"/>
    </xf>
    <xf numFmtId="0" fontId="13" fillId="0" borderId="0" xfId="0" applyFont="1" applyBorder="1" applyAlignment="1">
      <alignment vertical="center"/>
    </xf>
    <xf numFmtId="0" fontId="13" fillId="0" borderId="1" xfId="0" applyFont="1" applyBorder="1" applyAlignment="1">
      <alignment vertical="top" wrapText="1"/>
    </xf>
    <xf numFmtId="0" fontId="13" fillId="0" borderId="1" xfId="0" applyFont="1" applyBorder="1" applyAlignment="1">
      <alignment horizontal="left" vertical="top" wrapText="1"/>
    </xf>
    <xf numFmtId="0" fontId="13" fillId="0" borderId="1" xfId="0" applyFont="1" applyBorder="1"/>
    <xf numFmtId="0" fontId="13" fillId="0" borderId="8" xfId="0" applyFont="1" applyBorder="1"/>
    <xf numFmtId="0" fontId="13" fillId="0" borderId="15" xfId="0" applyFont="1" applyBorder="1"/>
    <xf numFmtId="0" fontId="13" fillId="0" borderId="7" xfId="0" applyFont="1" applyBorder="1"/>
    <xf numFmtId="43" fontId="13" fillId="0" borderId="1" xfId="1" applyFont="1" applyBorder="1" applyAlignment="1">
      <alignment vertical="center"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10" xfId="0" applyFont="1" applyBorder="1" applyAlignment="1">
      <alignment vertical="top" wrapText="1"/>
    </xf>
    <xf numFmtId="0" fontId="13" fillId="0" borderId="15" xfId="0" applyFont="1" applyBorder="1" applyAlignment="1">
      <alignment vertical="top" wrapText="1"/>
    </xf>
    <xf numFmtId="0" fontId="13" fillId="0" borderId="7" xfId="0" applyFont="1" applyBorder="1" applyAlignment="1">
      <alignment horizontal="left" vertical="top" wrapText="1" indent="2"/>
    </xf>
    <xf numFmtId="0" fontId="13" fillId="0" borderId="12" xfId="0" applyFont="1" applyBorder="1" applyAlignment="1">
      <alignment vertical="top" wrapText="1"/>
    </xf>
    <xf numFmtId="0" fontId="13" fillId="0" borderId="7" xfId="0" applyFont="1" applyBorder="1" applyAlignment="1">
      <alignment vertical="center" wrapText="1"/>
    </xf>
    <xf numFmtId="0" fontId="13" fillId="0" borderId="16" xfId="0" applyFont="1" applyBorder="1"/>
    <xf numFmtId="0" fontId="13" fillId="0" borderId="9" xfId="0" applyFont="1" applyBorder="1" applyAlignment="1">
      <alignment vertical="top" wrapText="1"/>
    </xf>
    <xf numFmtId="0" fontId="13" fillId="0" borderId="15" xfId="0" applyFont="1" applyBorder="1" applyAlignment="1">
      <alignment vertical="center"/>
    </xf>
    <xf numFmtId="0" fontId="13" fillId="0" borderId="2" xfId="0" applyFont="1" applyBorder="1"/>
    <xf numFmtId="0" fontId="13" fillId="0" borderId="17" xfId="0" applyFont="1" applyBorder="1"/>
    <xf numFmtId="0" fontId="13" fillId="0" borderId="18" xfId="0" applyFont="1" applyBorder="1"/>
    <xf numFmtId="0" fontId="13" fillId="0" borderId="16" xfId="0" applyFont="1" applyBorder="1" applyAlignment="1">
      <alignment vertical="top" wrapText="1"/>
    </xf>
    <xf numFmtId="0" fontId="13" fillId="0" borderId="18" xfId="0" applyFont="1" applyBorder="1" applyAlignment="1">
      <alignment vertical="top" wrapText="1"/>
    </xf>
    <xf numFmtId="0" fontId="13" fillId="0" borderId="0" xfId="0" applyFont="1" applyBorder="1"/>
    <xf numFmtId="0" fontId="13" fillId="0" borderId="19" xfId="0" applyFont="1" applyBorder="1" applyAlignment="1">
      <alignment horizontal="center" vertical="center"/>
    </xf>
    <xf numFmtId="0" fontId="13" fillId="0" borderId="14" xfId="0" applyFont="1" applyBorder="1" applyAlignment="1">
      <alignment vertical="top" wrapText="1"/>
    </xf>
    <xf numFmtId="0" fontId="13" fillId="0" borderId="14" xfId="0" applyFont="1" applyBorder="1"/>
    <xf numFmtId="43" fontId="22" fillId="3" borderId="1" xfId="4" applyFont="1" applyFill="1" applyBorder="1" applyAlignment="1">
      <alignment horizontal="center" vertical="center" wrapText="1"/>
    </xf>
    <xf numFmtId="43" fontId="24" fillId="3" borderId="1" xfId="4" applyFont="1" applyFill="1" applyBorder="1" applyAlignment="1">
      <alignment vertical="top"/>
    </xf>
    <xf numFmtId="0" fontId="22" fillId="3" borderId="1" xfId="0" applyFont="1" applyFill="1" applyBorder="1" applyAlignment="1">
      <alignment wrapText="1"/>
    </xf>
    <xf numFmtId="43" fontId="22" fillId="3" borderId="1" xfId="4" applyFont="1" applyFill="1" applyBorder="1" applyAlignment="1">
      <alignment vertical="top" wrapText="1"/>
    </xf>
    <xf numFmtId="0" fontId="22" fillId="0" borderId="1" xfId="0" applyFont="1" applyBorder="1" applyAlignment="1">
      <alignment horizontal="center" vertical="top" wrapText="1"/>
    </xf>
    <xf numFmtId="0" fontId="22" fillId="0" borderId="1" xfId="0" applyFont="1" applyBorder="1" applyAlignment="1">
      <alignment horizontal="left" vertical="top" wrapText="1"/>
    </xf>
    <xf numFmtId="0" fontId="22" fillId="0" borderId="1" xfId="0" applyFont="1" applyBorder="1" applyAlignment="1">
      <alignment horizontal="center" vertical="top"/>
    </xf>
    <xf numFmtId="166" fontId="22" fillId="0" borderId="1" xfId="4" applyNumberFormat="1" applyFont="1" applyBorder="1" applyAlignment="1">
      <alignment vertical="top"/>
    </xf>
    <xf numFmtId="0" fontId="22" fillId="3" borderId="7" xfId="0" applyFont="1" applyFill="1" applyBorder="1" applyAlignment="1">
      <alignment horizontal="center" vertical="top" wrapText="1"/>
    </xf>
    <xf numFmtId="0" fontId="4" fillId="0" borderId="1" xfId="0" applyFont="1" applyFill="1" applyBorder="1" applyAlignment="1">
      <alignment horizontal="center" vertical="top" wrapText="1"/>
    </xf>
    <xf numFmtId="168" fontId="22" fillId="3" borderId="1" xfId="4" applyNumberFormat="1" applyFont="1" applyFill="1" applyBorder="1" applyAlignment="1">
      <alignment vertical="top" wrapText="1"/>
    </xf>
    <xf numFmtId="166" fontId="22" fillId="0" borderId="1" xfId="4" applyNumberFormat="1" applyFont="1" applyBorder="1" applyAlignment="1">
      <alignment horizontal="center" vertical="top"/>
    </xf>
    <xf numFmtId="0" fontId="5" fillId="0" borderId="1" xfId="0" applyFont="1" applyFill="1" applyBorder="1" applyAlignment="1">
      <alignment horizontal="left" vertical="top" wrapText="1"/>
    </xf>
    <xf numFmtId="0" fontId="22" fillId="3" borderId="4" xfId="0" applyFont="1" applyFill="1" applyBorder="1" applyAlignment="1">
      <alignment wrapText="1"/>
    </xf>
    <xf numFmtId="0" fontId="22" fillId="3" borderId="10" xfId="0" applyFont="1" applyFill="1" applyBorder="1" applyAlignment="1">
      <alignment vertical="top" wrapText="1"/>
    </xf>
    <xf numFmtId="0" fontId="22" fillId="3" borderId="10" xfId="0" applyFont="1" applyFill="1" applyBorder="1" applyAlignment="1">
      <alignment horizontal="center" vertical="top" wrapText="1"/>
    </xf>
    <xf numFmtId="43" fontId="22" fillId="3" borderId="10" xfId="4" applyFont="1" applyFill="1" applyBorder="1" applyAlignment="1">
      <alignment vertical="top" wrapText="1"/>
    </xf>
    <xf numFmtId="0" fontId="22" fillId="0" borderId="1" xfId="0" applyFont="1" applyBorder="1"/>
    <xf numFmtId="0" fontId="9" fillId="2" borderId="1" xfId="0" applyFont="1" applyFill="1" applyBorder="1" applyAlignment="1">
      <alignment horizontal="left" vertical="top" wrapText="1"/>
    </xf>
    <xf numFmtId="168" fontId="22" fillId="3" borderId="1" xfId="4" applyNumberFormat="1" applyFont="1" applyFill="1" applyBorder="1" applyAlignment="1">
      <alignment wrapText="1"/>
    </xf>
    <xf numFmtId="0" fontId="4" fillId="2" borderId="1" xfId="0" applyFont="1" applyFill="1" applyBorder="1" applyAlignment="1">
      <alignment horizontal="left" wrapText="1"/>
    </xf>
    <xf numFmtId="0" fontId="22" fillId="3" borderId="8" xfId="0" applyFont="1" applyFill="1" applyBorder="1" applyAlignment="1">
      <alignment wrapText="1"/>
    </xf>
    <xf numFmtId="169" fontId="22" fillId="3" borderId="1" xfId="0" applyNumberFormat="1" applyFont="1" applyFill="1" applyBorder="1" applyAlignment="1">
      <alignment wrapText="1"/>
    </xf>
    <xf numFmtId="2" fontId="22" fillId="3" borderId="1" xfId="0" applyNumberFormat="1" applyFont="1" applyFill="1" applyBorder="1" applyAlignment="1">
      <alignment wrapText="1"/>
    </xf>
    <xf numFmtId="0" fontId="22" fillId="0" borderId="0" xfId="0" applyFont="1" applyAlignment="1"/>
    <xf numFmtId="2" fontId="22" fillId="3" borderId="1" xfId="0" applyNumberFormat="1" applyFont="1" applyFill="1" applyBorder="1" applyAlignment="1">
      <alignment horizontal="right" wrapText="1"/>
    </xf>
    <xf numFmtId="2" fontId="22" fillId="3" borderId="1" xfId="4" applyNumberFormat="1" applyFont="1" applyFill="1" applyBorder="1" applyAlignment="1">
      <alignment wrapText="1"/>
    </xf>
    <xf numFmtId="0" fontId="22" fillId="3" borderId="4" xfId="0" applyFont="1" applyFill="1" applyBorder="1" applyAlignment="1">
      <alignment vertical="center" wrapText="1"/>
    </xf>
    <xf numFmtId="0" fontId="4" fillId="2" borderId="0" xfId="0" applyFont="1" applyFill="1" applyBorder="1" applyAlignment="1">
      <alignment vertical="center" wrapText="1"/>
    </xf>
    <xf numFmtId="168" fontId="23" fillId="3" borderId="1" xfId="4" applyNumberFormat="1" applyFont="1" applyFill="1" applyBorder="1" applyAlignment="1">
      <alignment vertical="top" wrapText="1"/>
    </xf>
    <xf numFmtId="0" fontId="9" fillId="2" borderId="8" xfId="0" applyFont="1" applyFill="1" applyBorder="1" applyAlignment="1">
      <alignment horizontal="left" vertical="top" wrapText="1"/>
    </xf>
    <xf numFmtId="0" fontId="4" fillId="2" borderId="8" xfId="0" applyFont="1" applyFill="1" applyBorder="1" applyAlignment="1">
      <alignment vertical="center" wrapText="1"/>
    </xf>
    <xf numFmtId="0" fontId="4" fillId="2" borderId="0" xfId="0" applyFont="1" applyFill="1" applyBorder="1" applyAlignment="1">
      <alignment wrapText="1"/>
    </xf>
    <xf numFmtId="0" fontId="22" fillId="0" borderId="1" xfId="0" applyFont="1" applyBorder="1" applyAlignment="1">
      <alignment vertical="top"/>
    </xf>
    <xf numFmtId="0" fontId="4" fillId="2" borderId="8" xfId="0" applyFont="1" applyFill="1" applyBorder="1" applyAlignment="1">
      <alignment horizontal="left" vertical="top"/>
    </xf>
    <xf numFmtId="164"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top" wrapText="1"/>
    </xf>
    <xf numFmtId="3" fontId="5" fillId="3" borderId="4"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xf>
    <xf numFmtId="3" fontId="5" fillId="3" borderId="4" xfId="7" applyNumberFormat="1" applyFont="1" applyFill="1" applyBorder="1" applyAlignment="1">
      <alignment horizontal="center" vertical="center" wrapText="1"/>
    </xf>
    <xf numFmtId="0" fontId="5" fillId="3" borderId="1" xfId="0" applyFont="1" applyFill="1" applyBorder="1" applyAlignment="1">
      <alignment horizontal="center" vertical="top"/>
    </xf>
    <xf numFmtId="3" fontId="5" fillId="2" borderId="1" xfId="0" applyNumberFormat="1" applyFont="1" applyFill="1" applyBorder="1" applyAlignment="1">
      <alignment horizontal="left"/>
    </xf>
    <xf numFmtId="3" fontId="4" fillId="2" borderId="1" xfId="0" applyNumberFormat="1" applyFont="1" applyFill="1" applyBorder="1" applyAlignment="1">
      <alignment vertical="center"/>
    </xf>
    <xf numFmtId="3" fontId="4" fillId="2" borderId="1" xfId="0" applyNumberFormat="1" applyFont="1" applyFill="1" applyBorder="1" applyAlignment="1">
      <alignment horizontal="left" vertical="center" wrapText="1"/>
    </xf>
    <xf numFmtId="3" fontId="4" fillId="2" borderId="1" xfId="0" applyNumberFormat="1" applyFont="1" applyFill="1" applyBorder="1" applyAlignment="1">
      <alignment vertical="top"/>
    </xf>
    <xf numFmtId="3" fontId="4" fillId="2" borderId="1" xfId="0" applyNumberFormat="1" applyFont="1" applyFill="1" applyBorder="1" applyAlignment="1">
      <alignment horizontal="left" wrapText="1" indent="1"/>
    </xf>
    <xf numFmtId="3" fontId="5" fillId="3" borderId="1" xfId="0" applyNumberFormat="1" applyFont="1" applyFill="1" applyBorder="1" applyAlignment="1">
      <alignment horizontal="left" vertical="top" wrapText="1"/>
    </xf>
    <xf numFmtId="3" fontId="5" fillId="2" borderId="1" xfId="0" applyNumberFormat="1" applyFont="1" applyFill="1" applyBorder="1" applyAlignment="1">
      <alignment vertical="top" wrapText="1"/>
    </xf>
    <xf numFmtId="3" fontId="4" fillId="2" borderId="1" xfId="0" applyNumberFormat="1" applyFont="1" applyFill="1" applyBorder="1" applyAlignment="1">
      <alignment horizontal="left" wrapText="1"/>
    </xf>
    <xf numFmtId="3" fontId="4" fillId="2" borderId="1" xfId="0" applyNumberFormat="1" applyFont="1" applyFill="1" applyBorder="1" applyAlignment="1">
      <alignment wrapText="1"/>
    </xf>
    <xf numFmtId="3" fontId="5" fillId="2" borderId="1" xfId="0" applyNumberFormat="1" applyFont="1" applyFill="1" applyBorder="1" applyAlignment="1">
      <alignment horizontal="left" wrapText="1"/>
    </xf>
    <xf numFmtId="3" fontId="5" fillId="0" borderId="1" xfId="6" applyNumberFormat="1" applyFont="1" applyFill="1" applyBorder="1" applyAlignment="1">
      <alignment vertical="top" wrapText="1"/>
    </xf>
    <xf numFmtId="3" fontId="4" fillId="0" borderId="1" xfId="0" applyNumberFormat="1" applyFont="1" applyFill="1" applyBorder="1" applyAlignment="1">
      <alignment horizontal="left" wrapText="1"/>
    </xf>
    <xf numFmtId="3" fontId="4" fillId="0" borderId="1" xfId="0" applyNumberFormat="1" applyFont="1" applyFill="1" applyBorder="1" applyAlignment="1">
      <alignment wrapText="1"/>
    </xf>
    <xf numFmtId="3" fontId="4" fillId="0" borderId="1" xfId="0" applyNumberFormat="1" applyFont="1" applyFill="1" applyBorder="1" applyAlignment="1">
      <alignment vertical="top" wrapText="1"/>
    </xf>
    <xf numFmtId="3" fontId="5" fillId="2" borderId="1" xfId="0" applyNumberFormat="1" applyFont="1" applyFill="1" applyBorder="1"/>
    <xf numFmtId="3" fontId="4" fillId="2" borderId="1" xfId="0" applyNumberFormat="1" applyFont="1" applyFill="1" applyBorder="1"/>
    <xf numFmtId="3" fontId="4" fillId="2" borderId="1" xfId="0" applyNumberFormat="1" applyFont="1" applyFill="1" applyBorder="1" applyAlignment="1">
      <alignment horizontal="left"/>
    </xf>
    <xf numFmtId="3" fontId="4" fillId="2" borderId="1" xfId="0" applyNumberFormat="1" applyFont="1" applyFill="1" applyBorder="1" applyAlignment="1">
      <alignment horizontal="left" vertical="top"/>
    </xf>
    <xf numFmtId="3" fontId="4" fillId="2" borderId="1" xfId="0" applyNumberFormat="1" applyFont="1" applyFill="1" applyBorder="1" applyAlignment="1">
      <alignment horizontal="center" vertical="center" wrapText="1"/>
    </xf>
    <xf numFmtId="3" fontId="5" fillId="2" borderId="4" xfId="0" applyNumberFormat="1" applyFont="1" applyFill="1" applyBorder="1" applyAlignment="1">
      <alignment vertical="top" wrapText="1"/>
    </xf>
    <xf numFmtId="3" fontId="4" fillId="2" borderId="4" xfId="0" applyNumberFormat="1" applyFont="1" applyFill="1" applyBorder="1" applyAlignment="1">
      <alignment horizontal="left" wrapText="1"/>
    </xf>
    <xf numFmtId="3" fontId="4" fillId="2" borderId="4" xfId="0" applyNumberFormat="1" applyFont="1" applyFill="1" applyBorder="1" applyAlignment="1">
      <alignment horizontal="left" vertical="top" wrapText="1"/>
    </xf>
    <xf numFmtId="0" fontId="4" fillId="3" borderId="1" xfId="0" applyFont="1" applyFill="1" applyBorder="1" applyAlignment="1">
      <alignment horizontal="left" vertical="top" wrapText="1" indent="1"/>
    </xf>
    <xf numFmtId="0" fontId="5" fillId="3" borderId="0" xfId="0" applyFont="1" applyFill="1" applyBorder="1" applyAlignment="1">
      <alignment horizontal="left" vertical="top" wrapText="1"/>
    </xf>
    <xf numFmtId="0" fontId="22" fillId="0" borderId="0" xfId="0" applyFont="1" applyBorder="1"/>
    <xf numFmtId="0" fontId="4" fillId="2" borderId="0" xfId="0" applyFont="1" applyFill="1" applyBorder="1" applyAlignment="1">
      <alignment horizontal="left" wrapText="1"/>
    </xf>
    <xf numFmtId="0" fontId="22" fillId="4" borderId="1" xfId="0" applyFont="1" applyFill="1" applyBorder="1"/>
    <xf numFmtId="0" fontId="22" fillId="0" borderId="1" xfId="0" applyFont="1" applyFill="1" applyBorder="1"/>
    <xf numFmtId="0" fontId="24" fillId="4" borderId="1" xfId="0" applyFont="1" applyFill="1" applyBorder="1" applyAlignment="1">
      <alignment horizontal="left" wrapText="1" indent="1"/>
    </xf>
    <xf numFmtId="166" fontId="25" fillId="0" borderId="1" xfId="3" applyNumberFormat="1" applyFont="1" applyBorder="1" applyAlignment="1">
      <alignment vertical="top"/>
    </xf>
    <xf numFmtId="0" fontId="22" fillId="4" borderId="1" xfId="0" applyFont="1" applyFill="1" applyBorder="1" applyAlignment="1">
      <alignment vertical="center"/>
    </xf>
    <xf numFmtId="0" fontId="24" fillId="4" borderId="1" xfId="0" applyFont="1" applyFill="1" applyBorder="1" applyAlignment="1">
      <alignment horizontal="left" vertical="center" wrapText="1" indent="1"/>
    </xf>
    <xf numFmtId="0" fontId="23" fillId="4" borderId="1" xfId="0" applyFont="1" applyFill="1" applyBorder="1" applyAlignment="1">
      <alignment horizontal="center"/>
    </xf>
    <xf numFmtId="0" fontId="23" fillId="0" borderId="1" xfId="0" applyFont="1" applyFill="1" applyBorder="1" applyAlignment="1">
      <alignment horizontal="center"/>
    </xf>
    <xf numFmtId="0" fontId="23" fillId="0" borderId="7" xfId="0" applyFont="1" applyBorder="1" applyAlignment="1">
      <alignment horizontal="center" vertical="center" wrapText="1"/>
    </xf>
    <xf numFmtId="3" fontId="5" fillId="3" borderId="1" xfId="0" applyNumberFormat="1" applyFont="1" applyFill="1" applyBorder="1" applyAlignment="1">
      <alignment wrapText="1"/>
    </xf>
    <xf numFmtId="3" fontId="5" fillId="3" borderId="1" xfId="0" applyNumberFormat="1" applyFont="1" applyFill="1" applyBorder="1" applyAlignment="1">
      <alignment vertical="top" wrapText="1"/>
    </xf>
    <xf numFmtId="0" fontId="23" fillId="0" borderId="1" xfId="0" applyFont="1" applyBorder="1"/>
    <xf numFmtId="0" fontId="5" fillId="2" borderId="1" xfId="0" applyFont="1" applyFill="1" applyBorder="1" applyAlignment="1">
      <alignment horizontal="left" wrapText="1"/>
    </xf>
    <xf numFmtId="3" fontId="23" fillId="0" borderId="1" xfId="0" applyNumberFormat="1" applyFont="1" applyBorder="1"/>
    <xf numFmtId="3" fontId="23" fillId="3" borderId="1" xfId="0" applyNumberFormat="1" applyFont="1" applyFill="1" applyBorder="1" applyAlignment="1">
      <alignment vertical="top"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0" fillId="0" borderId="6" xfId="0" applyFont="1" applyBorder="1" applyAlignment="1">
      <alignment horizontal="center" vertical="center" wrapText="1"/>
    </xf>
    <xf numFmtId="3" fontId="22" fillId="0" borderId="1" xfId="1"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3" fontId="26" fillId="0" borderId="7"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3" fontId="20" fillId="0" borderId="4" xfId="0" applyNumberFormat="1" applyFont="1" applyBorder="1" applyAlignment="1">
      <alignment horizontal="center" vertical="center" wrapText="1"/>
    </xf>
    <xf numFmtId="0" fontId="20" fillId="0" borderId="6" xfId="0" applyFont="1" applyBorder="1"/>
    <xf numFmtId="0" fontId="20" fillId="0" borderId="18" xfId="0" applyFont="1" applyBorder="1" applyAlignment="1">
      <alignment horizontal="center" vertical="center" wrapText="1"/>
    </xf>
    <xf numFmtId="4" fontId="26" fillId="0" borderId="8" xfId="0" applyNumberFormat="1" applyFont="1" applyBorder="1"/>
    <xf numFmtId="4" fontId="26" fillId="0" borderId="7" xfId="0" applyNumberFormat="1" applyFont="1" applyBorder="1"/>
    <xf numFmtId="0" fontId="0" fillId="0" borderId="6" xfId="0" applyBorder="1"/>
    <xf numFmtId="0" fontId="0" fillId="0" borderId="18" xfId="0" applyBorder="1"/>
    <xf numFmtId="0" fontId="0" fillId="0" borderId="12" xfId="0" applyBorder="1"/>
    <xf numFmtId="0" fontId="13" fillId="0" borderId="3" xfId="0" applyFont="1" applyFill="1" applyBorder="1" applyAlignment="1">
      <alignment horizontal="center" vertical="center"/>
    </xf>
    <xf numFmtId="0" fontId="0" fillId="0" borderId="6" xfId="0" applyBorder="1" applyAlignment="1">
      <alignment vertical="top" wrapText="1"/>
    </xf>
    <xf numFmtId="0" fontId="0" fillId="0" borderId="1" xfId="0" applyBorder="1"/>
    <xf numFmtId="0" fontId="0" fillId="0" borderId="7" xfId="0" applyBorder="1"/>
    <xf numFmtId="3" fontId="18" fillId="0" borderId="7" xfId="0" applyNumberFormat="1" applyFont="1" applyBorder="1"/>
    <xf numFmtId="0" fontId="4" fillId="3" borderId="8" xfId="0" applyFont="1" applyFill="1" applyBorder="1" applyAlignment="1">
      <alignment horizontal="left"/>
    </xf>
    <xf numFmtId="2" fontId="22" fillId="3" borderId="8" xfId="0" applyNumberFormat="1" applyFont="1" applyFill="1" applyBorder="1" applyAlignment="1">
      <alignment wrapText="1"/>
    </xf>
    <xf numFmtId="0" fontId="22" fillId="0" borderId="8" xfId="0" applyFont="1" applyBorder="1"/>
    <xf numFmtId="0" fontId="22" fillId="0" borderId="8" xfId="0" applyFont="1" applyBorder="1" applyAlignment="1">
      <alignment vertical="top"/>
    </xf>
    <xf numFmtId="0" fontId="0" fillId="0" borderId="5" xfId="0" applyBorder="1"/>
    <xf numFmtId="0" fontId="0" fillId="0" borderId="11" xfId="0" applyBorder="1"/>
    <xf numFmtId="0" fontId="0" fillId="0" borderId="2" xfId="0" applyBorder="1"/>
    <xf numFmtId="0" fontId="0" fillId="0" borderId="3" xfId="0" applyBorder="1"/>
    <xf numFmtId="0" fontId="0" fillId="0" borderId="4" xfId="0" applyBorder="1"/>
    <xf numFmtId="0" fontId="23" fillId="0" borderId="8" xfId="0" applyFont="1" applyBorder="1"/>
    <xf numFmtId="3" fontId="18" fillId="0" borderId="8" xfId="0" applyNumberFormat="1" applyFont="1" applyBorder="1"/>
    <xf numFmtId="0" fontId="0" fillId="0" borderId="3" xfId="0" applyBorder="1" applyAlignment="1">
      <alignment horizontal="center"/>
    </xf>
    <xf numFmtId="0" fontId="0" fillId="0" borderId="6" xfId="0" applyBorder="1" applyAlignment="1">
      <alignment horizontal="center" vertical="top" wrapText="1"/>
    </xf>
    <xf numFmtId="0" fontId="0" fillId="0" borderId="12" xfId="0" applyBorder="1" applyAlignment="1">
      <alignment vertical="top"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0" fontId="23" fillId="0" borderId="1" xfId="0" applyFont="1" applyBorder="1" applyAlignment="1">
      <alignment horizontal="center" vertical="top"/>
    </xf>
    <xf numFmtId="3" fontId="23" fillId="3" borderId="4" xfId="0" applyNumberFormat="1" applyFont="1" applyFill="1" applyBorder="1" applyAlignment="1">
      <alignment vertical="top" wrapText="1"/>
    </xf>
    <xf numFmtId="166" fontId="23" fillId="0" borderId="1" xfId="4" applyNumberFormat="1" applyFont="1" applyBorder="1" applyAlignment="1">
      <alignment horizontal="center" vertical="top"/>
    </xf>
    <xf numFmtId="166" fontId="23" fillId="3" borderId="4" xfId="0" applyNumberFormat="1" applyFont="1" applyFill="1" applyBorder="1" applyAlignment="1">
      <alignment vertical="top" wrapText="1"/>
    </xf>
    <xf numFmtId="3" fontId="18" fillId="0" borderId="5" xfId="0" applyNumberFormat="1" applyFont="1" applyBorder="1"/>
    <xf numFmtId="3" fontId="18" fillId="0" borderId="6" xfId="0" applyNumberFormat="1" applyFont="1" applyBorder="1"/>
    <xf numFmtId="166" fontId="4" fillId="3"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37" fontId="4" fillId="3" borderId="1" xfId="4" applyNumberFormat="1" applyFont="1" applyFill="1" applyBorder="1" applyAlignment="1">
      <alignment horizontal="center" vertical="center" wrapText="1"/>
    </xf>
    <xf numFmtId="37" fontId="5" fillId="0" borderId="1" xfId="4" applyNumberFormat="1" applyFont="1" applyFill="1" applyBorder="1" applyAlignment="1">
      <alignment horizontal="center" vertical="center" wrapText="1"/>
    </xf>
    <xf numFmtId="37" fontId="4" fillId="3" borderId="1" xfId="0" applyNumberFormat="1" applyFont="1" applyFill="1" applyBorder="1" applyAlignment="1">
      <alignment vertical="top" wrapText="1"/>
    </xf>
    <xf numFmtId="166" fontId="4" fillId="3" borderId="1" xfId="5" applyNumberFormat="1" applyFont="1" applyFill="1" applyBorder="1" applyAlignment="1">
      <alignment horizontal="right" vertical="top" wrapText="1"/>
    </xf>
    <xf numFmtId="166" fontId="5" fillId="3" borderId="1" xfId="5" applyNumberFormat="1" applyFont="1" applyFill="1" applyBorder="1" applyAlignment="1">
      <alignment horizontal="right" vertical="top" wrapText="1"/>
    </xf>
    <xf numFmtId="3" fontId="20" fillId="0" borderId="12" xfId="0" applyNumberFormat="1" applyFont="1" applyBorder="1" applyAlignment="1">
      <alignment horizontal="center" vertical="center" wrapText="1"/>
    </xf>
    <xf numFmtId="3" fontId="22" fillId="3" borderId="4" xfId="0" applyNumberFormat="1" applyFont="1" applyFill="1" applyBorder="1" applyAlignment="1">
      <alignment vertical="top" wrapText="1"/>
    </xf>
    <xf numFmtId="1" fontId="22" fillId="3" borderId="1" xfId="0" applyNumberFormat="1" applyFont="1" applyFill="1" applyBorder="1" applyAlignment="1">
      <alignment vertical="top" wrapText="1"/>
    </xf>
    <xf numFmtId="3" fontId="22" fillId="3" borderId="1" xfId="0" applyNumberFormat="1" applyFont="1" applyFill="1" applyBorder="1" applyAlignment="1">
      <alignment vertical="top" wrapText="1"/>
    </xf>
    <xf numFmtId="166" fontId="22" fillId="3" borderId="1" xfId="1" applyNumberFormat="1" applyFont="1" applyFill="1" applyBorder="1" applyAlignment="1">
      <alignment vertical="top" wrapText="1"/>
    </xf>
    <xf numFmtId="166" fontId="23" fillId="3" borderId="1" xfId="1" applyNumberFormat="1" applyFont="1" applyFill="1" applyBorder="1" applyAlignment="1">
      <alignment vertical="top" wrapText="1"/>
    </xf>
    <xf numFmtId="3" fontId="18" fillId="0" borderId="1" xfId="0" applyNumberFormat="1" applyFont="1" applyBorder="1"/>
    <xf numFmtId="1" fontId="13" fillId="0" borderId="0" xfId="0" applyNumberFormat="1" applyFont="1" applyAlignment="1">
      <alignment horizontal="right"/>
    </xf>
    <xf numFmtId="3" fontId="13" fillId="0" borderId="0" xfId="0" applyNumberFormat="1" applyFont="1" applyAlignment="1"/>
    <xf numFmtId="1" fontId="22" fillId="3" borderId="1" xfId="0" applyNumberFormat="1" applyFont="1" applyFill="1" applyBorder="1" applyAlignment="1">
      <alignment wrapText="1"/>
    </xf>
    <xf numFmtId="1" fontId="4" fillId="2" borderId="1" xfId="0" applyNumberFormat="1" applyFont="1" applyFill="1" applyBorder="1" applyAlignment="1">
      <alignment horizontal="right" vertical="top" wrapText="1"/>
    </xf>
    <xf numFmtId="1" fontId="4" fillId="2" borderId="0" xfId="0" applyNumberFormat="1" applyFont="1" applyFill="1" applyBorder="1" applyAlignment="1">
      <alignment horizontal="right" vertical="center"/>
    </xf>
    <xf numFmtId="166" fontId="4" fillId="2" borderId="1" xfId="4" applyNumberFormat="1" applyFont="1" applyFill="1" applyBorder="1" applyAlignment="1">
      <alignment horizontal="center" vertical="top" wrapText="1"/>
    </xf>
    <xf numFmtId="166" fontId="22" fillId="3" borderId="1" xfId="0" applyNumberFormat="1" applyFont="1" applyFill="1" applyBorder="1" applyAlignment="1">
      <alignment vertical="top" wrapText="1"/>
    </xf>
    <xf numFmtId="3" fontId="4" fillId="2" borderId="1" xfId="0" applyNumberFormat="1" applyFont="1" applyFill="1" applyBorder="1" applyAlignment="1">
      <alignment horizontal="center" vertical="top" wrapText="1"/>
    </xf>
    <xf numFmtId="166" fontId="22" fillId="3" borderId="1" xfId="4" applyNumberFormat="1" applyFont="1" applyFill="1" applyBorder="1" applyAlignment="1">
      <alignment wrapText="1"/>
    </xf>
    <xf numFmtId="4" fontId="23" fillId="0" borderId="0" xfId="0" applyNumberFormat="1" applyFont="1" applyAlignment="1">
      <alignment horizontal="left" vertical="center" wrapText="1"/>
    </xf>
    <xf numFmtId="4" fontId="4" fillId="3" borderId="0" xfId="0" applyNumberFormat="1" applyFont="1" applyFill="1" applyBorder="1" applyAlignment="1">
      <alignment horizontal="center" vertical="center" wrapText="1"/>
    </xf>
    <xf numFmtId="4" fontId="22" fillId="0" borderId="0" xfId="0" applyNumberFormat="1" applyFont="1" applyAlignment="1">
      <alignment horizontal="center" vertical="center" wrapText="1"/>
    </xf>
    <xf numFmtId="4" fontId="20" fillId="0" borderId="0" xfId="0" applyNumberFormat="1" applyFont="1" applyAlignment="1">
      <alignment horizontal="center" vertical="center" wrapText="1"/>
    </xf>
    <xf numFmtId="37" fontId="20" fillId="5" borderId="0" xfId="0" applyNumberFormat="1" applyFont="1" applyFill="1" applyAlignment="1">
      <alignment horizontal="center" vertical="center" wrapText="1"/>
    </xf>
    <xf numFmtId="4" fontId="22" fillId="5" borderId="0" xfId="0" applyNumberFormat="1" applyFont="1" applyFill="1" applyAlignment="1">
      <alignment horizontal="center" vertical="center" wrapText="1"/>
    </xf>
    <xf numFmtId="4" fontId="20" fillId="5" borderId="0" xfId="0" applyNumberFormat="1" applyFont="1" applyFill="1" applyAlignment="1">
      <alignment horizontal="center" vertical="center" wrapText="1"/>
    </xf>
    <xf numFmtId="0" fontId="22" fillId="0" borderId="0" xfId="0" applyFont="1" applyBorder="1" applyAlignment="1">
      <alignment horizontal="left" vertical="top" wrapText="1"/>
    </xf>
    <xf numFmtId="0" fontId="22" fillId="0" borderId="0" xfId="0" applyFont="1" applyBorder="1" applyAlignment="1">
      <alignment horizontal="center" vertical="center" wrapText="1"/>
    </xf>
    <xf numFmtId="3" fontId="23" fillId="5" borderId="0" xfId="0" applyNumberFormat="1" applyFont="1" applyFill="1" applyBorder="1" applyAlignment="1">
      <alignment horizontal="center" vertical="center" wrapText="1"/>
    </xf>
    <xf numFmtId="3" fontId="26" fillId="5" borderId="0" xfId="0" applyNumberFormat="1" applyFont="1" applyFill="1" applyBorder="1" applyAlignment="1">
      <alignment horizontal="center" vertical="center" wrapText="1"/>
    </xf>
    <xf numFmtId="0" fontId="20" fillId="5" borderId="0" xfId="0" applyFont="1" applyFill="1" applyAlignment="1">
      <alignment horizontal="center" vertical="center" wrapText="1"/>
    </xf>
    <xf numFmtId="3" fontId="20" fillId="0" borderId="0" xfId="0" applyNumberFormat="1" applyFont="1" applyAlignment="1">
      <alignment horizontal="center" vertical="center" wrapText="1"/>
    </xf>
    <xf numFmtId="4" fontId="21" fillId="3" borderId="1" xfId="0" applyNumberFormat="1" applyFont="1" applyFill="1" applyBorder="1" applyAlignment="1">
      <alignment horizontal="center" vertical="center" wrapText="1"/>
    </xf>
    <xf numFmtId="4" fontId="5" fillId="0" borderId="1" xfId="4" applyNumberFormat="1" applyFont="1" applyFill="1" applyBorder="1" applyAlignment="1">
      <alignment horizontal="center" vertical="center" wrapText="1"/>
    </xf>
    <xf numFmtId="39" fontId="21" fillId="3" borderId="1" xfId="0" applyNumberFormat="1" applyFont="1" applyFill="1" applyBorder="1" applyAlignment="1">
      <alignment horizontal="center" vertical="center" wrapText="1"/>
    </xf>
    <xf numFmtId="39" fontId="27" fillId="0" borderId="3" xfId="0" applyNumberFormat="1" applyFont="1" applyBorder="1" applyAlignment="1">
      <alignment horizontal="center" vertical="center" wrapText="1"/>
    </xf>
    <xf numFmtId="4" fontId="27" fillId="0" borderId="3" xfId="0" applyNumberFormat="1" applyFont="1" applyBorder="1" applyAlignment="1">
      <alignment horizontal="center" vertical="center" wrapText="1"/>
    </xf>
    <xf numFmtId="3" fontId="0" fillId="0" borderId="0" xfId="0" applyNumberFormat="1"/>
    <xf numFmtId="4" fontId="4" fillId="3" borderId="1" xfId="5" applyNumberFormat="1" applyFont="1" applyFill="1" applyBorder="1" applyAlignment="1">
      <alignment horizontal="right" vertical="top" wrapText="1"/>
    </xf>
    <xf numFmtId="4" fontId="4" fillId="3" borderId="1" xfId="0" applyNumberFormat="1" applyFont="1" applyFill="1" applyBorder="1" applyAlignment="1">
      <alignment vertical="top" wrapText="1"/>
    </xf>
    <xf numFmtId="4" fontId="5" fillId="3" borderId="1" xfId="5" applyNumberFormat="1" applyFont="1" applyFill="1" applyBorder="1" applyAlignment="1">
      <alignment horizontal="right" vertical="top" wrapText="1"/>
    </xf>
    <xf numFmtId="43" fontId="4" fillId="5" borderId="0" xfId="5" applyFont="1" applyFill="1" applyBorder="1" applyAlignment="1">
      <alignment horizontal="right" vertical="top" wrapText="1"/>
    </xf>
    <xf numFmtId="4" fontId="21" fillId="3" borderId="1" xfId="5" applyNumberFormat="1" applyFont="1" applyFill="1" applyBorder="1" applyAlignment="1">
      <alignment horizontal="right" vertical="top" wrapText="1"/>
    </xf>
    <xf numFmtId="4" fontId="21" fillId="3" borderId="1" xfId="0" applyNumberFormat="1" applyFont="1" applyFill="1" applyBorder="1" applyAlignment="1">
      <alignment vertical="top" wrapText="1"/>
    </xf>
    <xf numFmtId="4" fontId="28" fillId="3" borderId="1" xfId="0" applyNumberFormat="1" applyFont="1" applyFill="1" applyBorder="1" applyAlignment="1">
      <alignment vertical="top" wrapText="1"/>
    </xf>
    <xf numFmtId="3" fontId="22" fillId="0" borderId="0" xfId="0" applyNumberFormat="1" applyFont="1"/>
    <xf numFmtId="39" fontId="21" fillId="3" borderId="1" xfId="0" applyNumberFormat="1" applyFont="1" applyFill="1" applyBorder="1" applyAlignment="1">
      <alignment vertical="top" wrapText="1"/>
    </xf>
    <xf numFmtId="43" fontId="27" fillId="0" borderId="3" xfId="0" applyNumberFormat="1" applyFont="1" applyBorder="1" applyAlignment="1">
      <alignment horizontal="center" vertical="center" wrapText="1"/>
    </xf>
    <xf numFmtId="43" fontId="20" fillId="5" borderId="0" xfId="0" applyNumberFormat="1" applyFont="1" applyFill="1" applyBorder="1" applyAlignment="1">
      <alignment horizontal="center" vertical="center" wrapText="1"/>
    </xf>
    <xf numFmtId="0" fontId="23" fillId="3" borderId="0" xfId="0" applyFont="1" applyFill="1" applyBorder="1" applyAlignment="1">
      <alignment horizontal="left" vertical="top" wrapText="1"/>
    </xf>
    <xf numFmtId="0" fontId="5" fillId="3" borderId="0" xfId="0" applyFont="1" applyFill="1" applyBorder="1" applyAlignment="1">
      <alignment horizontal="center"/>
    </xf>
    <xf numFmtId="0" fontId="5" fillId="3" borderId="0" xfId="0" applyFont="1" applyFill="1" applyBorder="1"/>
    <xf numFmtId="0" fontId="5" fillId="3" borderId="0" xfId="0" applyFont="1" applyFill="1" applyBorder="1" applyAlignment="1">
      <alignment horizontal="left"/>
    </xf>
    <xf numFmtId="0" fontId="23" fillId="3" borderId="0" xfId="0" applyFont="1" applyFill="1" applyBorder="1" applyAlignment="1">
      <alignment horizontal="center" vertical="top" wrapText="1"/>
    </xf>
    <xf numFmtId="0" fontId="23" fillId="3" borderId="0" xfId="0" applyFont="1" applyFill="1" applyBorder="1" applyAlignment="1">
      <alignment vertical="top" wrapText="1"/>
    </xf>
    <xf numFmtId="4" fontId="26" fillId="0" borderId="0" xfId="0" applyNumberFormat="1" applyFont="1" applyBorder="1"/>
    <xf numFmtId="166" fontId="23" fillId="5" borderId="0" xfId="1" applyNumberFormat="1" applyFont="1" applyFill="1" applyBorder="1" applyAlignment="1">
      <alignment vertical="top" wrapText="1"/>
    </xf>
    <xf numFmtId="166" fontId="20" fillId="0" borderId="0" xfId="0" applyNumberFormat="1" applyFont="1" applyBorder="1"/>
    <xf numFmtId="3" fontId="18" fillId="0" borderId="0" xfId="0" applyNumberFormat="1" applyFont="1" applyBorder="1"/>
    <xf numFmtId="43" fontId="5" fillId="5" borderId="0" xfId="5" applyFont="1" applyFill="1" applyBorder="1" applyAlignment="1">
      <alignment horizontal="right" vertical="top" wrapText="1"/>
    </xf>
    <xf numFmtId="3" fontId="18" fillId="5" borderId="0" xfId="0" applyNumberFormat="1" applyFont="1" applyFill="1" applyBorder="1"/>
    <xf numFmtId="3" fontId="23" fillId="5" borderId="1" xfId="0" applyNumberFormat="1" applyFont="1" applyFill="1" applyBorder="1" applyAlignment="1">
      <alignment vertical="top" wrapText="1"/>
    </xf>
    <xf numFmtId="3" fontId="18" fillId="5" borderId="6" xfId="0" applyNumberFormat="1" applyFont="1" applyFill="1" applyBorder="1"/>
    <xf numFmtId="166" fontId="0" fillId="0" borderId="5" xfId="0" applyNumberFormat="1" applyBorder="1"/>
    <xf numFmtId="166" fontId="19" fillId="0" borderId="5" xfId="0" applyNumberFormat="1" applyFont="1" applyBorder="1"/>
    <xf numFmtId="39" fontId="19" fillId="0" borderId="5" xfId="0" applyNumberFormat="1" applyFont="1" applyBorder="1"/>
    <xf numFmtId="166" fontId="22" fillId="3" borderId="4" xfId="0" applyNumberFormat="1" applyFont="1" applyFill="1" applyBorder="1" applyAlignment="1">
      <alignment vertical="top" wrapText="1"/>
    </xf>
    <xf numFmtId="0" fontId="23" fillId="0" borderId="0" xfId="0" applyFont="1" applyBorder="1"/>
    <xf numFmtId="0" fontId="5" fillId="2" borderId="0" xfId="0" applyFont="1" applyFill="1" applyBorder="1" applyAlignment="1">
      <alignment horizontal="left" wrapText="1"/>
    </xf>
    <xf numFmtId="3" fontId="23" fillId="0" borderId="0" xfId="0" applyNumberFormat="1" applyFont="1" applyBorder="1"/>
    <xf numFmtId="3" fontId="23" fillId="3" borderId="0" xfId="0" applyNumberFormat="1" applyFont="1" applyFill="1" applyBorder="1" applyAlignment="1">
      <alignment vertical="top" wrapText="1"/>
    </xf>
    <xf numFmtId="3" fontId="23" fillId="5" borderId="0" xfId="0" applyNumberFormat="1" applyFont="1" applyFill="1" applyBorder="1"/>
    <xf numFmtId="3" fontId="21" fillId="2" borderId="1" xfId="0" applyNumberFormat="1" applyFont="1" applyFill="1" applyBorder="1" applyAlignment="1">
      <alignment horizontal="center" vertical="top" wrapText="1"/>
    </xf>
    <xf numFmtId="3" fontId="21" fillId="3" borderId="1" xfId="0" applyNumberFormat="1" applyFont="1" applyFill="1" applyBorder="1" applyAlignment="1">
      <alignment vertical="top" wrapText="1"/>
    </xf>
    <xf numFmtId="166" fontId="21" fillId="2" borderId="1" xfId="4" applyNumberFormat="1" applyFont="1" applyFill="1" applyBorder="1" applyAlignment="1">
      <alignment horizontal="center" vertical="top" wrapText="1"/>
    </xf>
    <xf numFmtId="3" fontId="22" fillId="0" borderId="1" xfId="0" applyNumberFormat="1" applyFont="1" applyBorder="1" applyAlignment="1">
      <alignment vertical="top"/>
    </xf>
    <xf numFmtId="3" fontId="0" fillId="0" borderId="5" xfId="0" applyNumberFormat="1" applyBorder="1"/>
    <xf numFmtId="3" fontId="0" fillId="5" borderId="0" xfId="0" applyNumberFormat="1" applyFill="1"/>
    <xf numFmtId="0" fontId="18" fillId="0" borderId="0" xfId="0" applyFont="1"/>
    <xf numFmtId="43" fontId="18" fillId="5" borderId="0" xfId="0" applyNumberFormat="1" applyFont="1" applyFill="1"/>
    <xf numFmtId="0" fontId="4" fillId="5" borderId="1" xfId="0" applyFont="1" applyFill="1" applyBorder="1" applyAlignment="1">
      <alignment horizontal="justify" vertical="top" wrapText="1"/>
    </xf>
    <xf numFmtId="0" fontId="4" fillId="5" borderId="0" xfId="0" applyFont="1" applyFill="1" applyBorder="1" applyAlignment="1">
      <alignment horizontal="left"/>
    </xf>
    <xf numFmtId="4" fontId="5" fillId="5" borderId="0" xfId="0" applyNumberFormat="1" applyFont="1" applyFill="1" applyBorder="1" applyAlignment="1">
      <alignment horizontal="left"/>
    </xf>
    <xf numFmtId="0" fontId="18" fillId="5" borderId="0" xfId="0" applyFont="1" applyFill="1"/>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5" fillId="3" borderId="4" xfId="0" applyFont="1" applyFill="1" applyBorder="1" applyAlignment="1">
      <alignment horizontal="center" vertical="center"/>
    </xf>
    <xf numFmtId="9" fontId="5" fillId="3" borderId="4" xfId="7"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3" fontId="5" fillId="3" borderId="4"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4" xfId="7" applyNumberFormat="1" applyFont="1" applyFill="1" applyBorder="1" applyAlignment="1">
      <alignment horizontal="center" vertical="center" wrapText="1"/>
    </xf>
    <xf numFmtId="164" fontId="5" fillId="3" borderId="1" xfId="0" applyNumberFormat="1" applyFont="1" applyFill="1" applyBorder="1" applyAlignment="1">
      <alignment horizontal="center" vertical="top" wrapText="1"/>
    </xf>
    <xf numFmtId="0" fontId="22" fillId="3" borderId="10" xfId="0" applyFont="1" applyFill="1" applyBorder="1" applyAlignment="1">
      <alignment horizontal="left"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9" fontId="4" fillId="3" borderId="4" xfId="7"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5" fillId="3" borderId="4" xfId="0" applyFont="1" applyFill="1" applyBorder="1" applyAlignment="1">
      <alignment horizontal="left" vertical="center" wrapText="1"/>
    </xf>
    <xf numFmtId="3" fontId="22" fillId="0" borderId="3" xfId="1" applyNumberFormat="1" applyFont="1" applyBorder="1" applyAlignment="1">
      <alignment horizontal="center" vertical="center" wrapText="1"/>
    </xf>
    <xf numFmtId="166" fontId="22" fillId="0" borderId="3" xfId="1" applyNumberFormat="1" applyFont="1" applyBorder="1" applyAlignment="1">
      <alignment horizontal="center" vertical="center" wrapText="1"/>
    </xf>
    <xf numFmtId="16" fontId="22" fillId="0" borderId="2" xfId="0" quotePrefix="1" applyNumberFormat="1" applyFont="1" applyBorder="1" applyAlignment="1">
      <alignment horizontal="center" vertical="center" wrapText="1"/>
    </xf>
    <xf numFmtId="0" fontId="4" fillId="3" borderId="2" xfId="0" applyFont="1" applyFill="1" applyBorder="1" applyAlignment="1">
      <alignment horizontal="left" vertical="center" wrapText="1"/>
    </xf>
    <xf numFmtId="164" fontId="5"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top" wrapText="1"/>
    </xf>
    <xf numFmtId="0" fontId="22"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166" fontId="0" fillId="0" borderId="0" xfId="0" applyNumberFormat="1"/>
    <xf numFmtId="43" fontId="0" fillId="0" borderId="0" xfId="0" applyNumberFormat="1"/>
    <xf numFmtId="166" fontId="0" fillId="0" borderId="1" xfId="0" applyNumberFormat="1" applyBorder="1"/>
    <xf numFmtId="166" fontId="21" fillId="0" borderId="1" xfId="1" applyNumberFormat="1" applyFont="1" applyBorder="1" applyAlignment="1">
      <alignment vertical="center" wrapText="1"/>
    </xf>
    <xf numFmtId="0" fontId="21" fillId="0" borderId="1" xfId="0" applyFont="1" applyBorder="1"/>
    <xf numFmtId="166" fontId="19" fillId="0" borderId="1" xfId="0" applyNumberFormat="1" applyFont="1" applyBorder="1"/>
    <xf numFmtId="166" fontId="21" fillId="0" borderId="1" xfId="1" applyNumberFormat="1" applyFont="1" applyBorder="1" applyAlignment="1">
      <alignment horizontal="center" vertical="center"/>
    </xf>
    <xf numFmtId="166" fontId="19" fillId="0" borderId="0" xfId="0" applyNumberFormat="1" applyFont="1"/>
    <xf numFmtId="166" fontId="21" fillId="0" borderId="1" xfId="1" applyNumberFormat="1" applyFont="1" applyBorder="1" applyAlignment="1">
      <alignment vertical="center"/>
    </xf>
    <xf numFmtId="166" fontId="21" fillId="0" borderId="4" xfId="1" applyNumberFormat="1" applyFont="1" applyBorder="1" applyAlignment="1">
      <alignment vertical="center"/>
    </xf>
    <xf numFmtId="0" fontId="21" fillId="0" borderId="4" xfId="0" applyFont="1" applyBorder="1"/>
    <xf numFmtId="164" fontId="0" fillId="0" borderId="0" xfId="0" applyNumberFormat="1"/>
    <xf numFmtId="4" fontId="0" fillId="0" borderId="0" xfId="0" applyNumberFormat="1"/>
    <xf numFmtId="165" fontId="21" fillId="3" borderId="1" xfId="4" applyNumberFormat="1" applyFont="1" applyFill="1" applyBorder="1" applyAlignment="1">
      <alignment horizontal="center" vertical="center" wrapText="1"/>
    </xf>
    <xf numFmtId="43" fontId="0" fillId="0" borderId="1" xfId="0" applyNumberFormat="1" applyBorder="1"/>
    <xf numFmtId="0" fontId="18" fillId="0" borderId="1" xfId="0" applyFont="1" applyBorder="1"/>
    <xf numFmtId="43" fontId="18" fillId="0" borderId="1" xfId="0" applyNumberFormat="1" applyFont="1" applyBorder="1"/>
    <xf numFmtId="43" fontId="18" fillId="0" borderId="0" xfId="0" applyNumberFormat="1" applyFont="1"/>
    <xf numFmtId="4" fontId="0" fillId="0" borderId="1" xfId="0" applyNumberFormat="1" applyBorder="1"/>
    <xf numFmtId="0" fontId="22" fillId="6" borderId="0" xfId="0" applyFont="1" applyFill="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4" fontId="22" fillId="6" borderId="0" xfId="0" applyNumberFormat="1" applyFont="1" applyFill="1" applyAlignment="1">
      <alignment horizontal="center" vertical="center" wrapText="1"/>
    </xf>
    <xf numFmtId="0" fontId="4" fillId="6" borderId="2" xfId="0" quotePrefix="1"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0" xfId="0" applyFont="1" applyFill="1"/>
    <xf numFmtId="0" fontId="4" fillId="6" borderId="0" xfId="0" applyFont="1" applyFill="1" applyBorder="1" applyAlignment="1">
      <alignment vertical="top" wrapText="1"/>
    </xf>
    <xf numFmtId="0" fontId="5" fillId="6" borderId="4" xfId="0" applyFont="1" applyFill="1" applyBorder="1" applyAlignment="1">
      <alignment horizontal="center" vertical="center" wrapText="1"/>
    </xf>
    <xf numFmtId="0" fontId="4" fillId="6" borderId="1" xfId="0" applyFont="1" applyFill="1" applyBorder="1" applyAlignment="1">
      <alignment vertical="center" wrapText="1"/>
    </xf>
    <xf numFmtId="0" fontId="4" fillId="6" borderId="1" xfId="0" applyFont="1" applyFill="1" applyBorder="1" applyAlignment="1">
      <alignment horizontal="left" vertical="center" wrapText="1"/>
    </xf>
    <xf numFmtId="0" fontId="4" fillId="6" borderId="1" xfId="0" applyFont="1" applyFill="1" applyBorder="1"/>
    <xf numFmtId="0" fontId="4" fillId="6" borderId="1" xfId="0" applyFont="1" applyFill="1" applyBorder="1" applyAlignment="1">
      <alignment horizontal="left"/>
    </xf>
    <xf numFmtId="0" fontId="4" fillId="6" borderId="1" xfId="0" applyFont="1" applyFill="1" applyBorder="1" applyAlignment="1">
      <alignment horizontal="center" vertical="center"/>
    </xf>
    <xf numFmtId="0" fontId="4" fillId="6" borderId="1" xfId="0" applyFont="1" applyFill="1" applyBorder="1" applyAlignment="1">
      <alignment horizontal="center" vertical="top"/>
    </xf>
    <xf numFmtId="0" fontId="21" fillId="6" borderId="1" xfId="0" applyFont="1" applyFill="1" applyBorder="1" applyAlignment="1">
      <alignment horizontal="left" wrapText="1"/>
    </xf>
    <xf numFmtId="0" fontId="4" fillId="6" borderId="1" xfId="0" applyFont="1" applyFill="1" applyBorder="1" applyAlignment="1">
      <alignment horizontal="left" vertical="top"/>
    </xf>
    <xf numFmtId="0" fontId="4" fillId="6" borderId="1" xfId="0" applyFont="1" applyFill="1" applyBorder="1" applyAlignment="1">
      <alignment horizontal="center" vertical="top" wrapText="1"/>
    </xf>
    <xf numFmtId="0" fontId="24" fillId="6" borderId="1" xfId="0" applyFont="1" applyFill="1" applyBorder="1" applyAlignment="1">
      <alignment vertical="top"/>
    </xf>
    <xf numFmtId="0" fontId="24" fillId="6" borderId="1" xfId="0" applyFont="1" applyFill="1" applyBorder="1" applyAlignment="1">
      <alignment horizontal="center" vertical="top"/>
    </xf>
    <xf numFmtId="0" fontId="22" fillId="6" borderId="1" xfId="0" applyFont="1" applyFill="1" applyBorder="1" applyAlignment="1">
      <alignment vertical="top" wrapText="1"/>
    </xf>
    <xf numFmtId="0" fontId="22" fillId="6" borderId="1" xfId="0" applyFont="1" applyFill="1" applyBorder="1" applyAlignment="1">
      <alignment horizontal="center" vertical="top" wrapText="1"/>
    </xf>
    <xf numFmtId="0" fontId="22" fillId="6" borderId="4" xfId="0" applyFont="1" applyFill="1" applyBorder="1" applyAlignment="1">
      <alignment vertical="top" wrapText="1"/>
    </xf>
    <xf numFmtId="0" fontId="5" fillId="6" borderId="1" xfId="0" applyFont="1" applyFill="1" applyBorder="1" applyAlignment="1">
      <alignment horizontal="left"/>
    </xf>
    <xf numFmtId="0" fontId="5" fillId="6" borderId="0" xfId="0" applyFont="1" applyFill="1" applyBorder="1" applyAlignment="1">
      <alignment horizontal="left"/>
    </xf>
    <xf numFmtId="0" fontId="13" fillId="6" borderId="1" xfId="0" applyFont="1" applyFill="1" applyBorder="1"/>
    <xf numFmtId="0" fontId="13" fillId="6" borderId="2" xfId="0" applyFont="1" applyFill="1" applyBorder="1"/>
    <xf numFmtId="0" fontId="13" fillId="6" borderId="14" xfId="0" applyFont="1" applyFill="1" applyBorder="1" applyAlignment="1">
      <alignment horizontal="center" vertical="center"/>
    </xf>
    <xf numFmtId="0" fontId="5" fillId="6" borderId="1" xfId="0" applyFont="1" applyFill="1" applyBorder="1"/>
    <xf numFmtId="0" fontId="5" fillId="6" borderId="0" xfId="0" applyFont="1" applyFill="1" applyBorder="1"/>
    <xf numFmtId="0" fontId="22" fillId="6" borderId="1" xfId="0" applyFont="1" applyFill="1" applyBorder="1" applyAlignment="1">
      <alignment horizontal="center" vertical="top"/>
    </xf>
    <xf numFmtId="0" fontId="23" fillId="6" borderId="1" xfId="0" applyFont="1" applyFill="1" applyBorder="1" applyAlignment="1">
      <alignment horizontal="center" vertical="top"/>
    </xf>
    <xf numFmtId="0" fontId="23" fillId="6" borderId="1" xfId="0" applyFont="1" applyFill="1" applyBorder="1" applyAlignment="1">
      <alignment vertical="top" wrapText="1"/>
    </xf>
    <xf numFmtId="0" fontId="22" fillId="6" borderId="10" xfId="0" applyFont="1" applyFill="1" applyBorder="1" applyAlignment="1">
      <alignment vertical="top" wrapText="1"/>
    </xf>
    <xf numFmtId="0" fontId="22" fillId="6" borderId="10" xfId="0" applyFont="1" applyFill="1" applyBorder="1" applyAlignment="1">
      <alignment horizontal="center" vertical="top" wrapText="1"/>
    </xf>
    <xf numFmtId="0" fontId="22" fillId="6" borderId="1" xfId="0" applyFont="1" applyFill="1" applyBorder="1"/>
    <xf numFmtId="0" fontId="4" fillId="6" borderId="1" xfId="0" applyFont="1" applyFill="1" applyBorder="1" applyAlignment="1">
      <alignment horizontal="center" wrapText="1"/>
    </xf>
    <xf numFmtId="0" fontId="23" fillId="6" borderId="1" xfId="0" applyFont="1" applyFill="1" applyBorder="1"/>
    <xf numFmtId="0" fontId="23" fillId="6" borderId="0" xfId="0" applyFont="1" applyFill="1" applyBorder="1"/>
    <xf numFmtId="0" fontId="22" fillId="6" borderId="0" xfId="0" applyFont="1" applyFill="1" applyBorder="1"/>
    <xf numFmtId="3" fontId="5" fillId="6" borderId="4" xfId="0" applyNumberFormat="1" applyFont="1" applyFill="1" applyBorder="1" applyAlignment="1">
      <alignment horizontal="center" vertical="center" wrapText="1"/>
    </xf>
    <xf numFmtId="3" fontId="4" fillId="6" borderId="1" xfId="0" applyNumberFormat="1" applyFont="1" applyFill="1" applyBorder="1" applyAlignment="1">
      <alignment horizontal="left" vertical="top" wrapText="1"/>
    </xf>
    <xf numFmtId="3" fontId="4" fillId="6" borderId="1" xfId="0" applyNumberFormat="1" applyFont="1" applyFill="1" applyBorder="1" applyAlignment="1">
      <alignment vertical="center"/>
    </xf>
    <xf numFmtId="3" fontId="4" fillId="6" borderId="1" xfId="0" applyNumberFormat="1" applyFont="1" applyFill="1" applyBorder="1" applyAlignment="1">
      <alignment wrapText="1"/>
    </xf>
    <xf numFmtId="0" fontId="4" fillId="6" borderId="1" xfId="0" applyFont="1" applyFill="1" applyBorder="1" applyAlignment="1">
      <alignment horizontal="left" vertical="top" wrapText="1"/>
    </xf>
    <xf numFmtId="3" fontId="4" fillId="6" borderId="1" xfId="0" applyNumberFormat="1" applyFont="1" applyFill="1" applyBorder="1" applyAlignment="1">
      <alignment horizontal="left" vertical="top"/>
    </xf>
    <xf numFmtId="3" fontId="4" fillId="6" borderId="1" xfId="0" applyNumberFormat="1" applyFont="1" applyFill="1" applyBorder="1"/>
    <xf numFmtId="3" fontId="4" fillId="6" borderId="1" xfId="0" applyNumberFormat="1" applyFont="1" applyFill="1" applyBorder="1" applyAlignment="1">
      <alignment vertical="top" wrapText="1"/>
    </xf>
    <xf numFmtId="3" fontId="4" fillId="6" borderId="4" xfId="0" applyNumberFormat="1" applyFont="1" applyFill="1" applyBorder="1" applyAlignment="1">
      <alignment horizontal="left" vertical="top" wrapText="1"/>
    </xf>
    <xf numFmtId="3" fontId="5" fillId="6" borderId="1" xfId="0" applyNumberFormat="1" applyFont="1" applyFill="1" applyBorder="1" applyAlignment="1">
      <alignment horizontal="left" vertical="top" wrapText="1"/>
    </xf>
    <xf numFmtId="3" fontId="5" fillId="6" borderId="1" xfId="0" applyNumberFormat="1" applyFont="1" applyFill="1" applyBorder="1" applyAlignment="1">
      <alignment wrapText="1"/>
    </xf>
    <xf numFmtId="0" fontId="0" fillId="6" borderId="0" xfId="0" applyFill="1"/>
    <xf numFmtId="39" fontId="0" fillId="0" borderId="1" xfId="0" applyNumberFormat="1" applyBorder="1"/>
    <xf numFmtId="164" fontId="4" fillId="6" borderId="1" xfId="0" applyNumberFormat="1" applyFont="1" applyFill="1" applyBorder="1" applyAlignment="1">
      <alignment horizontal="center" vertical="center" wrapText="1"/>
    </xf>
    <xf numFmtId="39" fontId="21" fillId="6" borderId="1" xfId="0" applyNumberFormat="1" applyFont="1" applyFill="1" applyBorder="1" applyAlignment="1">
      <alignment horizontal="center" vertical="center" wrapText="1"/>
    </xf>
    <xf numFmtId="165" fontId="5" fillId="6" borderId="1" xfId="4" applyNumberFormat="1" applyFont="1" applyFill="1" applyBorder="1" applyAlignment="1">
      <alignment horizontal="center" vertical="center" wrapText="1"/>
    </xf>
    <xf numFmtId="43" fontId="5" fillId="6" borderId="0" xfId="4" applyFont="1" applyFill="1" applyBorder="1" applyAlignment="1">
      <alignment horizontal="center" vertical="center" wrapText="1"/>
    </xf>
    <xf numFmtId="166" fontId="22" fillId="6" borderId="3" xfId="1" applyNumberFormat="1" applyFont="1" applyFill="1" applyBorder="1" applyAlignment="1">
      <alignment horizontal="center" vertical="center" wrapText="1"/>
    </xf>
    <xf numFmtId="166" fontId="22" fillId="6" borderId="4" xfId="1" applyNumberFormat="1" applyFont="1" applyFill="1" applyBorder="1" applyAlignment="1">
      <alignment horizontal="center" vertical="center" wrapText="1"/>
    </xf>
    <xf numFmtId="166" fontId="22" fillId="6" borderId="1" xfId="1" applyNumberFormat="1" applyFont="1" applyFill="1" applyBorder="1" applyAlignment="1">
      <alignment horizontal="center" vertical="center" wrapText="1"/>
    </xf>
    <xf numFmtId="3" fontId="22" fillId="6" borderId="3" xfId="1" applyNumberFormat="1" applyFont="1" applyFill="1" applyBorder="1" applyAlignment="1">
      <alignment horizontal="center" vertical="center" wrapText="1"/>
    </xf>
    <xf numFmtId="2" fontId="22" fillId="6" borderId="4" xfId="1" applyNumberFormat="1" applyFont="1" applyFill="1" applyBorder="1" applyAlignment="1">
      <alignment horizontal="center" vertical="center" wrapText="1"/>
    </xf>
    <xf numFmtId="3" fontId="22" fillId="6" borderId="1" xfId="1" applyNumberFormat="1" applyFont="1" applyFill="1" applyBorder="1" applyAlignment="1">
      <alignment horizontal="center" vertical="center" wrapText="1"/>
    </xf>
    <xf numFmtId="3" fontId="23" fillId="6" borderId="1" xfId="0" applyNumberFormat="1" applyFont="1" applyFill="1" applyBorder="1" applyAlignment="1">
      <alignment horizontal="center" vertical="center" wrapText="1"/>
    </xf>
    <xf numFmtId="3" fontId="23" fillId="6" borderId="0" xfId="0" applyNumberFormat="1" applyFont="1" applyFill="1" applyBorder="1" applyAlignment="1">
      <alignment horizontal="center" vertical="center" wrapText="1"/>
    </xf>
    <xf numFmtId="3" fontId="22" fillId="6" borderId="0" xfId="0" applyNumberFormat="1" applyFont="1" applyFill="1"/>
    <xf numFmtId="164" fontId="5" fillId="6" borderId="1" xfId="0" applyNumberFormat="1" applyFont="1" applyFill="1" applyBorder="1" applyAlignment="1">
      <alignment horizontal="center" vertical="top" wrapText="1"/>
    </xf>
    <xf numFmtId="164" fontId="5" fillId="6" borderId="1" xfId="0" applyNumberFormat="1" applyFont="1" applyFill="1" applyBorder="1" applyAlignment="1">
      <alignment horizontal="center" vertical="top"/>
    </xf>
    <xf numFmtId="164" fontId="5" fillId="6" borderId="1" xfId="0" applyNumberFormat="1" applyFont="1" applyFill="1" applyBorder="1" applyAlignment="1">
      <alignment vertical="top" wrapText="1"/>
    </xf>
    <xf numFmtId="164" fontId="4" fillId="6" borderId="1" xfId="0" applyNumberFormat="1" applyFont="1" applyFill="1" applyBorder="1" applyAlignment="1">
      <alignment vertical="top" wrapText="1"/>
    </xf>
    <xf numFmtId="39" fontId="21" fillId="6" borderId="1" xfId="0" applyNumberFormat="1" applyFont="1" applyFill="1" applyBorder="1" applyAlignment="1">
      <alignment vertical="top" wrapText="1"/>
    </xf>
    <xf numFmtId="43" fontId="4" fillId="6" borderId="1" xfId="5" applyFont="1" applyFill="1" applyBorder="1" applyAlignment="1">
      <alignment horizontal="right" vertical="top" wrapText="1"/>
    </xf>
    <xf numFmtId="43" fontId="5" fillId="6" borderId="1" xfId="5" applyFont="1" applyFill="1" applyBorder="1" applyAlignment="1">
      <alignment horizontal="right" vertical="top" wrapText="1"/>
    </xf>
    <xf numFmtId="43" fontId="4" fillId="6" borderId="0" xfId="5" applyFont="1" applyFill="1" applyBorder="1" applyAlignment="1">
      <alignment horizontal="right" vertical="top" wrapText="1"/>
    </xf>
    <xf numFmtId="164" fontId="4" fillId="6" borderId="1" xfId="0" applyNumberFormat="1" applyFont="1" applyFill="1" applyBorder="1" applyAlignment="1">
      <alignment horizontal="center" vertical="top"/>
    </xf>
    <xf numFmtId="3" fontId="22" fillId="6" borderId="1" xfId="0" applyNumberFormat="1" applyFont="1" applyFill="1" applyBorder="1" applyAlignment="1">
      <alignment vertical="top" wrapText="1"/>
    </xf>
    <xf numFmtId="166" fontId="22" fillId="6" borderId="1" xfId="1" applyNumberFormat="1" applyFont="1" applyFill="1" applyBorder="1" applyAlignment="1">
      <alignment vertical="top" wrapText="1"/>
    </xf>
    <xf numFmtId="166" fontId="23" fillId="6" borderId="1" xfId="1" applyNumberFormat="1" applyFont="1" applyFill="1" applyBorder="1" applyAlignment="1">
      <alignment vertical="top" wrapText="1"/>
    </xf>
    <xf numFmtId="166" fontId="23" fillId="6" borderId="0" xfId="1" applyNumberFormat="1" applyFont="1" applyFill="1" applyBorder="1" applyAlignment="1">
      <alignment vertical="top" wrapText="1"/>
    </xf>
    <xf numFmtId="166" fontId="19" fillId="6" borderId="1" xfId="0" applyNumberFormat="1" applyFont="1" applyFill="1" applyBorder="1"/>
    <xf numFmtId="166" fontId="19" fillId="6" borderId="0" xfId="0" applyNumberFormat="1" applyFont="1" applyFill="1"/>
    <xf numFmtId="43" fontId="13" fillId="6" borderId="1" xfId="1" applyFont="1" applyFill="1" applyBorder="1" applyAlignment="1">
      <alignment vertical="center" wrapText="1"/>
    </xf>
    <xf numFmtId="0" fontId="13" fillId="6" borderId="14" xfId="0" applyFont="1" applyFill="1" applyBorder="1"/>
    <xf numFmtId="166" fontId="5" fillId="6" borderId="1" xfId="5" applyNumberFormat="1" applyFont="1" applyFill="1" applyBorder="1" applyAlignment="1">
      <alignment horizontal="right" vertical="top" wrapText="1"/>
    </xf>
    <xf numFmtId="43" fontId="5" fillId="6" borderId="0" xfId="5" applyFont="1" applyFill="1" applyBorder="1" applyAlignment="1">
      <alignment horizontal="right" vertical="top" wrapText="1"/>
    </xf>
    <xf numFmtId="166" fontId="22" fillId="6" borderId="1" xfId="4" applyNumberFormat="1" applyFont="1" applyFill="1" applyBorder="1" applyAlignment="1">
      <alignment vertical="top"/>
    </xf>
    <xf numFmtId="3" fontId="23" fillId="6" borderId="1" xfId="0" applyNumberFormat="1" applyFont="1" applyFill="1" applyBorder="1" applyAlignment="1">
      <alignment vertical="top" wrapText="1"/>
    </xf>
    <xf numFmtId="0" fontId="22" fillId="6" borderId="1" xfId="0" applyFont="1" applyFill="1" applyBorder="1" applyAlignment="1">
      <alignment wrapText="1"/>
    </xf>
    <xf numFmtId="1" fontId="22" fillId="6" borderId="1" xfId="0" applyNumberFormat="1" applyFont="1" applyFill="1" applyBorder="1" applyAlignment="1">
      <alignment vertical="top" wrapText="1"/>
    </xf>
    <xf numFmtId="166" fontId="4" fillId="6" borderId="1" xfId="4" applyNumberFormat="1" applyFont="1" applyFill="1" applyBorder="1" applyAlignment="1">
      <alignment horizontal="center" vertical="top" wrapText="1"/>
    </xf>
    <xf numFmtId="3" fontId="22" fillId="6" borderId="1" xfId="0" applyNumberFormat="1" applyFont="1" applyFill="1" applyBorder="1" applyAlignment="1">
      <alignment vertical="top"/>
    </xf>
    <xf numFmtId="3" fontId="23" fillId="6" borderId="1" xfId="0" applyNumberFormat="1" applyFont="1" applyFill="1" applyBorder="1"/>
    <xf numFmtId="3" fontId="23" fillId="6" borderId="0" xfId="0" applyNumberFormat="1" applyFont="1" applyFill="1" applyBorder="1"/>
    <xf numFmtId="164" fontId="5" fillId="6" borderId="1" xfId="0" applyNumberFormat="1" applyFont="1" applyFill="1" applyBorder="1" applyAlignment="1">
      <alignment horizontal="center" vertical="center" wrapText="1"/>
    </xf>
    <xf numFmtId="3" fontId="4" fillId="6" borderId="1" xfId="0" applyNumberFormat="1" applyFont="1" applyFill="1" applyBorder="1" applyAlignment="1">
      <alignment vertical="top"/>
    </xf>
    <xf numFmtId="3" fontId="5" fillId="6" borderId="1" xfId="0" applyNumberFormat="1" applyFont="1" applyFill="1" applyBorder="1" applyAlignment="1">
      <alignment vertical="top" wrapText="1"/>
    </xf>
    <xf numFmtId="3" fontId="0" fillId="6" borderId="0" xfId="0" applyNumberFormat="1" applyFill="1"/>
    <xf numFmtId="4" fontId="21" fillId="6" borderId="1" xfId="0" applyNumberFormat="1" applyFont="1" applyFill="1" applyBorder="1" applyAlignment="1">
      <alignment horizontal="center" vertical="center" wrapText="1"/>
    </xf>
    <xf numFmtId="4" fontId="5" fillId="6" borderId="1" xfId="4" applyNumberFormat="1" applyFont="1" applyFill="1" applyBorder="1" applyAlignment="1">
      <alignment horizontal="center" vertical="center" wrapText="1"/>
    </xf>
    <xf numFmtId="2" fontId="22" fillId="6" borderId="3" xfId="1" applyNumberFormat="1" applyFont="1" applyFill="1" applyBorder="1" applyAlignment="1">
      <alignment horizontal="center" vertical="center" wrapText="1"/>
    </xf>
    <xf numFmtId="2" fontId="22" fillId="6" borderId="3" xfId="0" applyNumberFormat="1" applyFont="1" applyFill="1" applyBorder="1" applyAlignment="1">
      <alignment horizontal="center" vertical="center" wrapText="1"/>
    </xf>
    <xf numFmtId="2" fontId="22" fillId="6" borderId="4"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xf>
    <xf numFmtId="4" fontId="28" fillId="6" borderId="1" xfId="0" applyNumberFormat="1" applyFont="1" applyFill="1" applyBorder="1" applyAlignment="1">
      <alignment vertical="top" wrapText="1"/>
    </xf>
    <xf numFmtId="4" fontId="21" fillId="6" borderId="1" xfId="0" applyNumberFormat="1" applyFont="1" applyFill="1" applyBorder="1" applyAlignment="1">
      <alignment vertical="top" wrapText="1"/>
    </xf>
    <xf numFmtId="4" fontId="21" fillId="6" borderId="1" xfId="5" applyNumberFormat="1" applyFont="1" applyFill="1" applyBorder="1" applyAlignment="1">
      <alignment horizontal="right" vertical="top" wrapText="1"/>
    </xf>
    <xf numFmtId="4" fontId="4" fillId="6" borderId="1" xfId="5" applyNumberFormat="1" applyFont="1" applyFill="1" applyBorder="1" applyAlignment="1">
      <alignment horizontal="right" vertical="top" wrapText="1"/>
    </xf>
    <xf numFmtId="4" fontId="5" fillId="6" borderId="1" xfId="5" applyNumberFormat="1" applyFont="1" applyFill="1" applyBorder="1" applyAlignment="1">
      <alignment horizontal="right" vertical="top" wrapText="1"/>
    </xf>
    <xf numFmtId="3" fontId="22" fillId="6" borderId="4" xfId="0" applyNumberFormat="1" applyFont="1" applyFill="1" applyBorder="1" applyAlignment="1">
      <alignment vertical="top" wrapText="1"/>
    </xf>
    <xf numFmtId="3" fontId="23" fillId="6" borderId="4" xfId="0" applyNumberFormat="1" applyFont="1" applyFill="1" applyBorder="1" applyAlignment="1">
      <alignment vertical="top" wrapText="1"/>
    </xf>
    <xf numFmtId="0" fontId="22" fillId="6" borderId="4" xfId="0" applyFont="1" applyFill="1" applyBorder="1" applyAlignment="1">
      <alignment wrapText="1"/>
    </xf>
    <xf numFmtId="0" fontId="22" fillId="6" borderId="4" xfId="0" applyFont="1" applyFill="1" applyBorder="1" applyAlignment="1">
      <alignment vertical="center" wrapText="1"/>
    </xf>
    <xf numFmtId="166" fontId="22" fillId="6" borderId="1" xfId="0" applyNumberFormat="1" applyFont="1" applyFill="1" applyBorder="1" applyAlignment="1">
      <alignment vertical="top" wrapText="1"/>
    </xf>
    <xf numFmtId="3" fontId="21" fillId="6" borderId="1" xfId="0" applyNumberFormat="1" applyFont="1" applyFill="1" applyBorder="1" applyAlignment="1">
      <alignment vertical="top" wrapText="1"/>
    </xf>
    <xf numFmtId="3" fontId="23" fillId="6" borderId="0" xfId="0" applyNumberFormat="1" applyFont="1" applyFill="1" applyBorder="1" applyAlignment="1">
      <alignment vertical="top" wrapText="1"/>
    </xf>
    <xf numFmtId="0" fontId="22" fillId="6" borderId="0" xfId="0" applyFont="1" applyFill="1" applyBorder="1" applyAlignment="1">
      <alignment vertical="top" wrapText="1"/>
    </xf>
    <xf numFmtId="164" fontId="5" fillId="0" borderId="1" xfId="0" applyNumberFormat="1" applyFont="1" applyFill="1" applyBorder="1" applyAlignment="1">
      <alignment horizontal="center" vertical="center" wrapText="1"/>
    </xf>
    <xf numFmtId="43" fontId="0" fillId="0" borderId="1" xfId="0" applyNumberFormat="1" applyFill="1" applyBorder="1"/>
    <xf numFmtId="0" fontId="0" fillId="0" borderId="0" xfId="0" applyFill="1"/>
    <xf numFmtId="164" fontId="5" fillId="0" borderId="1" xfId="0" applyNumberFormat="1" applyFont="1" applyFill="1" applyBorder="1" applyAlignment="1">
      <alignment horizontal="center" vertical="top"/>
    </xf>
    <xf numFmtId="3" fontId="4" fillId="0" borderId="1" xfId="0" applyNumberFormat="1" applyFont="1" applyFill="1" applyBorder="1" applyAlignment="1">
      <alignment vertical="top"/>
    </xf>
    <xf numFmtId="3" fontId="5" fillId="0" borderId="1" xfId="0" applyNumberFormat="1" applyFont="1" applyFill="1" applyBorder="1" applyAlignment="1">
      <alignment vertical="top" wrapText="1"/>
    </xf>
    <xf numFmtId="3" fontId="0" fillId="0" borderId="0" xfId="0" applyNumberFormat="1" applyFill="1"/>
    <xf numFmtId="0" fontId="18" fillId="0" borderId="1" xfId="0" applyFont="1" applyFill="1" applyBorder="1"/>
    <xf numFmtId="0" fontId="0" fillId="0" borderId="1" xfId="0" applyFill="1" applyBorder="1"/>
    <xf numFmtId="4" fontId="0" fillId="0" borderId="1" xfId="0" applyNumberFormat="1" applyFill="1" applyBorder="1"/>
    <xf numFmtId="164" fontId="4" fillId="6" borderId="1" xfId="0" applyNumberFormat="1" applyFont="1" applyFill="1" applyBorder="1" applyAlignment="1">
      <alignment horizontal="center" vertical="center"/>
    </xf>
    <xf numFmtId="166" fontId="22" fillId="6" borderId="4" xfId="0" applyNumberFormat="1" applyFont="1" applyFill="1" applyBorder="1" applyAlignment="1">
      <alignment vertical="top" wrapText="1"/>
    </xf>
    <xf numFmtId="166" fontId="23" fillId="6" borderId="4" xfId="0" applyNumberFormat="1" applyFont="1" applyFill="1" applyBorder="1" applyAlignment="1">
      <alignment vertical="top" wrapText="1"/>
    </xf>
    <xf numFmtId="166" fontId="21" fillId="6" borderId="1" xfId="4" applyNumberFormat="1" applyFont="1" applyFill="1" applyBorder="1" applyAlignment="1">
      <alignment horizontal="center" vertical="top" wrapText="1"/>
    </xf>
    <xf numFmtId="0" fontId="0" fillId="6" borderId="1" xfId="0" applyFill="1" applyBorder="1"/>
    <xf numFmtId="0" fontId="20" fillId="6" borderId="0" xfId="0" applyFont="1" applyFill="1" applyAlignment="1">
      <alignment horizontal="center" vertical="center" wrapText="1"/>
    </xf>
    <xf numFmtId="0" fontId="20" fillId="6" borderId="1" xfId="0" applyFont="1" applyFill="1" applyBorder="1" applyAlignment="1">
      <alignment horizontal="center" vertical="center" wrapText="1"/>
    </xf>
    <xf numFmtId="0" fontId="20" fillId="6" borderId="3" xfId="0" applyFont="1" applyFill="1" applyBorder="1" applyAlignment="1">
      <alignment horizontal="center" vertical="center" wrapText="1"/>
    </xf>
    <xf numFmtId="39" fontId="27" fillId="6" borderId="3" xfId="0" applyNumberFormat="1" applyFont="1" applyFill="1" applyBorder="1" applyAlignment="1">
      <alignment horizontal="center" vertical="center" wrapText="1"/>
    </xf>
    <xf numFmtId="4" fontId="27" fillId="6" borderId="3" xfId="0" applyNumberFormat="1" applyFont="1" applyFill="1" applyBorder="1" applyAlignment="1">
      <alignment horizontal="center" vertical="center" wrapText="1"/>
    </xf>
    <xf numFmtId="3" fontId="26" fillId="6" borderId="7" xfId="0" applyNumberFormat="1" applyFont="1" applyFill="1" applyBorder="1" applyAlignment="1">
      <alignment horizontal="center" vertical="center" wrapText="1"/>
    </xf>
    <xf numFmtId="43" fontId="27" fillId="6" borderId="3" xfId="0" applyNumberFormat="1" applyFont="1" applyFill="1" applyBorder="1" applyAlignment="1">
      <alignment horizontal="center" vertical="center" wrapText="1"/>
    </xf>
    <xf numFmtId="3" fontId="20" fillId="6" borderId="12" xfId="0" applyNumberFormat="1"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0" xfId="0" applyFont="1" applyFill="1"/>
    <xf numFmtId="166" fontId="20" fillId="6" borderId="0" xfId="0" applyNumberFormat="1" applyFont="1" applyFill="1" applyBorder="1"/>
    <xf numFmtId="4" fontId="26" fillId="6" borderId="8" xfId="0" applyNumberFormat="1" applyFont="1" applyFill="1" applyBorder="1"/>
    <xf numFmtId="0" fontId="0" fillId="6" borderId="18" xfId="0" applyFill="1" applyBorder="1"/>
    <xf numFmtId="0" fontId="0" fillId="6" borderId="6" xfId="0" applyFill="1" applyBorder="1"/>
    <xf numFmtId="0" fontId="13" fillId="6" borderId="3" xfId="0" applyFont="1" applyFill="1" applyBorder="1" applyAlignment="1">
      <alignment horizontal="center" vertical="center"/>
    </xf>
    <xf numFmtId="3" fontId="18" fillId="6" borderId="1" xfId="0" applyNumberFormat="1" applyFont="1" applyFill="1" applyBorder="1"/>
    <xf numFmtId="0" fontId="0" fillId="6" borderId="2" xfId="0" applyFill="1" applyBorder="1"/>
    <xf numFmtId="0" fontId="0" fillId="6" borderId="3" xfId="0" applyFill="1" applyBorder="1"/>
    <xf numFmtId="0" fontId="0" fillId="6" borderId="4" xfId="0" applyFill="1" applyBorder="1"/>
    <xf numFmtId="0" fontId="0" fillId="6" borderId="5" xfId="0" applyFill="1" applyBorder="1"/>
    <xf numFmtId="39" fontId="19" fillId="6" borderId="5" xfId="0" applyNumberFormat="1" applyFont="1" applyFill="1" applyBorder="1"/>
    <xf numFmtId="3" fontId="18" fillId="6" borderId="5" xfId="0" applyNumberFormat="1" applyFont="1" applyFill="1" applyBorder="1"/>
    <xf numFmtId="0" fontId="0" fillId="6" borderId="11" xfId="0" applyFill="1" applyBorder="1"/>
    <xf numFmtId="0" fontId="0" fillId="6" borderId="3" xfId="0" applyFill="1" applyBorder="1" applyAlignment="1">
      <alignment horizontal="center"/>
    </xf>
    <xf numFmtId="166" fontId="0" fillId="6" borderId="5" xfId="0" applyNumberFormat="1" applyFill="1" applyBorder="1"/>
    <xf numFmtId="166" fontId="19" fillId="6" borderId="5" xfId="0" applyNumberFormat="1" applyFont="1" applyFill="1" applyBorder="1"/>
    <xf numFmtId="3" fontId="0" fillId="6" borderId="5" xfId="0" applyNumberFormat="1" applyFill="1" applyBorder="1"/>
    <xf numFmtId="3" fontId="18" fillId="6" borderId="8" xfId="0" applyNumberFormat="1" applyFont="1" applyFill="1" applyBorder="1"/>
    <xf numFmtId="3" fontId="18" fillId="6" borderId="0" xfId="0" applyNumberFormat="1" applyFont="1" applyFill="1" applyBorder="1"/>
    <xf numFmtId="39" fontId="0" fillId="0" borderId="1" xfId="0" applyNumberFormat="1" applyFill="1" applyBorder="1"/>
    <xf numFmtId="3" fontId="21" fillId="3" borderId="1" xfId="0" applyNumberFormat="1" applyFont="1" applyFill="1" applyBorder="1" applyAlignment="1">
      <alignment horizontal="left" vertical="top" wrapText="1"/>
    </xf>
    <xf numFmtId="0" fontId="0" fillId="0" borderId="1" xfId="0" applyFont="1" applyBorder="1"/>
    <xf numFmtId="1" fontId="0" fillId="0" borderId="1" xfId="0" applyNumberFormat="1" applyBorder="1"/>
    <xf numFmtId="166" fontId="0" fillId="0" borderId="1" xfId="0" applyNumberFormat="1" applyFill="1" applyBorder="1"/>
    <xf numFmtId="0" fontId="4" fillId="3" borderId="1" xfId="0" applyFont="1" applyFill="1" applyBorder="1" applyAlignment="1">
      <alignment horizontal="center" vertical="center" wrapText="1"/>
    </xf>
    <xf numFmtId="0" fontId="22" fillId="3" borderId="1" xfId="0" applyFont="1" applyFill="1" applyBorder="1" applyAlignment="1">
      <alignment horizontal="left" vertical="top" wrapText="1"/>
    </xf>
    <xf numFmtId="0" fontId="4" fillId="6" borderId="1" xfId="0" applyFont="1" applyFill="1" applyBorder="1" applyAlignment="1">
      <alignment horizontal="center" wrapText="1"/>
    </xf>
    <xf numFmtId="0" fontId="0" fillId="0" borderId="0" xfId="0" applyBorder="1"/>
    <xf numFmtId="0" fontId="18" fillId="0" borderId="0" xfId="0" applyFont="1" applyBorder="1"/>
    <xf numFmtId="164" fontId="4" fillId="5" borderId="1" xfId="0" applyNumberFormat="1" applyFont="1" applyFill="1" applyBorder="1" applyAlignment="1">
      <alignment horizontal="center" vertical="center" wrapText="1"/>
    </xf>
    <xf numFmtId="4" fontId="5" fillId="5" borderId="1" xfId="4" applyNumberFormat="1" applyFont="1" applyFill="1" applyBorder="1" applyAlignment="1">
      <alignment horizontal="center" vertical="center" wrapText="1"/>
    </xf>
    <xf numFmtId="165" fontId="5" fillId="5" borderId="1" xfId="4" applyNumberFormat="1"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horizontal="left" indent="1"/>
    </xf>
    <xf numFmtId="0" fontId="21" fillId="3" borderId="1" xfId="0" applyFont="1" applyFill="1" applyBorder="1" applyAlignment="1">
      <alignment horizontal="center" vertical="center" wrapText="1"/>
    </xf>
    <xf numFmtId="0" fontId="21" fillId="3" borderId="1" xfId="0" applyFont="1" applyFill="1" applyBorder="1" applyAlignment="1">
      <alignment vertical="top" wrapText="1"/>
    </xf>
    <xf numFmtId="3" fontId="4" fillId="6" borderId="1" xfId="0" applyNumberFormat="1" applyFont="1" applyFill="1" applyBorder="1" applyAlignment="1">
      <alignment horizontal="left" vertical="center" wrapText="1"/>
    </xf>
    <xf numFmtId="3" fontId="4" fillId="6" borderId="1" xfId="0" applyNumberFormat="1" applyFont="1" applyFill="1" applyBorder="1" applyAlignment="1">
      <alignment horizontal="left" wrapText="1"/>
    </xf>
    <xf numFmtId="3" fontId="4" fillId="6" borderId="1" xfId="0" applyNumberFormat="1" applyFont="1" applyFill="1" applyBorder="1" applyAlignment="1">
      <alignment horizontal="left"/>
    </xf>
    <xf numFmtId="3" fontId="4" fillId="6" borderId="4" xfId="0" applyNumberFormat="1" applyFont="1" applyFill="1" applyBorder="1" applyAlignment="1">
      <alignment horizontal="left" wrapText="1"/>
    </xf>
    <xf numFmtId="0" fontId="21" fillId="6" borderId="1" xfId="0" applyFont="1" applyFill="1" applyBorder="1" applyAlignment="1">
      <alignment horizontal="left" vertical="top" wrapText="1"/>
    </xf>
    <xf numFmtId="3" fontId="21" fillId="6" borderId="1" xfId="0" applyNumberFormat="1" applyFont="1" applyFill="1" applyBorder="1" applyAlignment="1">
      <alignment horizontal="left" vertical="top" wrapText="1"/>
    </xf>
    <xf numFmtId="0" fontId="21" fillId="0" borderId="1" xfId="0" applyFont="1" applyBorder="1" applyAlignment="1">
      <alignment horizontal="center" vertical="top"/>
    </xf>
    <xf numFmtId="10" fontId="0" fillId="0" borderId="0" xfId="0" applyNumberFormat="1"/>
    <xf numFmtId="4" fontId="0" fillId="0" borderId="0" xfId="0" applyNumberFormat="1" applyBorder="1"/>
    <xf numFmtId="0" fontId="29" fillId="0" borderId="0" xfId="0" applyFont="1" applyAlignment="1">
      <alignment horizontal="center"/>
    </xf>
    <xf numFmtId="0" fontId="4" fillId="0" borderId="0" xfId="0" applyFont="1" applyFill="1" applyBorder="1" applyAlignment="1"/>
    <xf numFmtId="0" fontId="22" fillId="0" borderId="0" xfId="0" applyFont="1" applyFill="1" applyBorder="1" applyAlignment="1"/>
    <xf numFmtId="0" fontId="22" fillId="0" borderId="1" xfId="0" applyFont="1" applyFill="1" applyBorder="1" applyAlignment="1"/>
    <xf numFmtId="43" fontId="4" fillId="0" borderId="1" xfId="2" applyFont="1" applyFill="1" applyBorder="1" applyAlignment="1">
      <alignment horizontal="right"/>
    </xf>
    <xf numFmtId="0" fontId="20" fillId="0" borderId="1" xfId="0" applyFont="1" applyBorder="1"/>
    <xf numFmtId="43" fontId="30" fillId="0" borderId="1" xfId="3" applyFont="1" applyBorder="1"/>
    <xf numFmtId="0" fontId="22" fillId="0" borderId="1" xfId="0" applyFont="1" applyFill="1" applyBorder="1" applyAlignment="1">
      <alignment horizontal="left" indent="1"/>
    </xf>
    <xf numFmtId="43" fontId="4" fillId="0" borderId="1" xfId="3" applyFont="1" applyFill="1" applyBorder="1" applyAlignment="1">
      <alignment horizontal="right"/>
    </xf>
    <xf numFmtId="43" fontId="4" fillId="5" borderId="1" xfId="2" applyFont="1" applyFill="1" applyBorder="1" applyAlignment="1">
      <alignment horizontal="right"/>
    </xf>
    <xf numFmtId="0" fontId="22" fillId="0" borderId="1" xfId="0" applyFont="1" applyBorder="1" applyAlignment="1">
      <alignment horizontal="left" vertical="top"/>
    </xf>
    <xf numFmtId="0" fontId="21" fillId="3" borderId="1" xfId="0" applyFont="1" applyFill="1" applyBorder="1" applyAlignment="1">
      <alignment horizontal="center" vertical="top" wrapText="1"/>
    </xf>
    <xf numFmtId="0" fontId="21" fillId="0" borderId="1" xfId="0" applyFont="1" applyBorder="1" applyAlignment="1">
      <alignment vertical="top"/>
    </xf>
    <xf numFmtId="0" fontId="13" fillId="5" borderId="1" xfId="0" applyFont="1" applyFill="1" applyBorder="1"/>
    <xf numFmtId="0" fontId="21" fillId="5" borderId="1" xfId="0" applyFont="1" applyFill="1" applyBorder="1"/>
    <xf numFmtId="0" fontId="13" fillId="5" borderId="2" xfId="0" applyFont="1" applyFill="1" applyBorder="1"/>
    <xf numFmtId="0" fontId="13" fillId="5" borderId="14" xfId="0" applyFont="1" applyFill="1" applyBorder="1" applyAlignment="1">
      <alignment horizontal="left" vertical="center"/>
    </xf>
    <xf numFmtId="3" fontId="4" fillId="5" borderId="1" xfId="0" applyNumberFormat="1" applyFont="1" applyFill="1" applyBorder="1" applyAlignment="1">
      <alignment horizontal="left" vertical="top" wrapText="1" indent="1"/>
    </xf>
    <xf numFmtId="3" fontId="4" fillId="0" borderId="1" xfId="0" applyNumberFormat="1" applyFont="1" applyFill="1" applyBorder="1" applyAlignment="1">
      <alignment horizontal="left" vertical="top" wrapText="1" indent="1"/>
    </xf>
    <xf numFmtId="0" fontId="4" fillId="5" borderId="1" xfId="0" applyFont="1" applyFill="1" applyBorder="1" applyAlignment="1">
      <alignment horizontal="left" vertical="top" wrapText="1"/>
    </xf>
    <xf numFmtId="0" fontId="4" fillId="5" borderId="1" xfId="0" applyFont="1" applyFill="1" applyBorder="1" applyAlignment="1">
      <alignment wrapText="1"/>
    </xf>
    <xf numFmtId="0" fontId="28" fillId="3" borderId="0" xfId="0" applyFont="1" applyFill="1" applyBorder="1" applyAlignment="1">
      <alignment horizontal="left" vertical="top" wrapText="1"/>
    </xf>
    <xf numFmtId="0" fontId="21" fillId="5" borderId="1" xfId="0" applyFont="1" applyFill="1" applyBorder="1" applyAlignment="1">
      <alignment vertical="top"/>
    </xf>
    <xf numFmtId="0" fontId="21" fillId="5" borderId="1" xfId="0" applyFont="1" applyFill="1" applyBorder="1" applyAlignment="1">
      <alignment horizontal="left" vertical="top" wrapText="1"/>
    </xf>
    <xf numFmtId="0" fontId="21" fillId="5" borderId="3" xfId="0" applyFont="1" applyFill="1" applyBorder="1" applyAlignment="1">
      <alignment horizontal="left" vertical="top" wrapText="1"/>
    </xf>
    <xf numFmtId="0" fontId="4" fillId="5" borderId="1" xfId="0" applyFont="1" applyFill="1" applyBorder="1" applyAlignment="1">
      <alignment horizontal="left" vertical="center" wrapText="1"/>
    </xf>
    <xf numFmtId="0" fontId="21" fillId="5" borderId="1" xfId="0" applyFont="1" applyFill="1" applyBorder="1" applyAlignment="1">
      <alignment vertical="top" wrapText="1"/>
    </xf>
    <xf numFmtId="0" fontId="19" fillId="5" borderId="0" xfId="0" applyFont="1" applyFill="1" applyAlignment="1">
      <alignment vertical="top" wrapText="1"/>
    </xf>
    <xf numFmtId="0" fontId="4"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4" fillId="7" borderId="1" xfId="0" applyFont="1" applyFill="1" applyBorder="1" applyAlignment="1">
      <alignment horizontal="center" vertical="center" wrapText="1"/>
    </xf>
    <xf numFmtId="0" fontId="22" fillId="7" borderId="1" xfId="0" applyFont="1" applyFill="1" applyBorder="1" applyAlignment="1">
      <alignment vertical="top" wrapText="1"/>
    </xf>
    <xf numFmtId="0" fontId="4" fillId="8" borderId="8" xfId="0" applyFont="1" applyFill="1" applyBorder="1" applyAlignment="1">
      <alignment horizontal="left" vertical="top" wrapText="1"/>
    </xf>
    <xf numFmtId="0" fontId="4" fillId="8" borderId="0" xfId="0" applyFont="1" applyFill="1" applyBorder="1" applyAlignment="1">
      <alignment wrapText="1"/>
    </xf>
    <xf numFmtId="0" fontId="4" fillId="8" borderId="8" xfId="0" applyFont="1" applyFill="1" applyBorder="1" applyAlignment="1">
      <alignment vertical="center" wrapText="1"/>
    </xf>
    <xf numFmtId="0" fontId="4" fillId="8" borderId="1" xfId="0" applyFont="1" applyFill="1" applyBorder="1" applyAlignment="1">
      <alignment horizontal="left" vertical="top" wrapText="1"/>
    </xf>
    <xf numFmtId="0" fontId="4" fillId="8" borderId="1" xfId="0" applyFont="1" applyFill="1" applyBorder="1" applyAlignment="1">
      <alignment vertical="center" wrapText="1"/>
    </xf>
    <xf numFmtId="0" fontId="4" fillId="8" borderId="0" xfId="0" applyFont="1" applyFill="1" applyBorder="1" applyAlignment="1">
      <alignment vertical="center" wrapText="1"/>
    </xf>
    <xf numFmtId="0" fontId="4" fillId="8" borderId="1" xfId="0" applyFont="1" applyFill="1" applyBorder="1" applyAlignment="1">
      <alignment wrapText="1"/>
    </xf>
    <xf numFmtId="0" fontId="22"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22" fillId="5" borderId="3" xfId="0" applyFont="1" applyFill="1" applyBorder="1" applyAlignment="1">
      <alignment horizontal="left" vertical="top" wrapText="1"/>
    </xf>
    <xf numFmtId="0" fontId="21" fillId="0" borderId="1"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1" xfId="0" applyFont="1" applyFill="1" applyBorder="1" applyAlignment="1">
      <alignment vertical="top" wrapText="1"/>
    </xf>
    <xf numFmtId="0" fontId="22" fillId="5" borderId="1" xfId="0" applyFont="1" applyFill="1" applyBorder="1" applyAlignment="1">
      <alignment vertical="top" wrapText="1"/>
    </xf>
    <xf numFmtId="0" fontId="21"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4" fillId="5" borderId="1" xfId="0" applyFont="1" applyFill="1" applyBorder="1" applyAlignment="1">
      <alignment horizontal="center" vertical="top"/>
    </xf>
    <xf numFmtId="0" fontId="4" fillId="5" borderId="1" xfId="0" applyFont="1" applyFill="1" applyBorder="1" applyAlignment="1">
      <alignment horizontal="left" vertical="top"/>
    </xf>
    <xf numFmtId="0" fontId="21" fillId="5" borderId="4" xfId="0" applyFont="1" applyFill="1" applyBorder="1" applyAlignment="1">
      <alignment vertical="top" wrapText="1"/>
    </xf>
    <xf numFmtId="3" fontId="21" fillId="0" borderId="1" xfId="0" applyNumberFormat="1" applyFont="1" applyFill="1" applyBorder="1" applyAlignment="1"/>
    <xf numFmtId="0" fontId="21" fillId="0" borderId="1" xfId="0" applyFont="1" applyFill="1" applyBorder="1" applyAlignment="1"/>
    <xf numFmtId="3" fontId="21" fillId="0" borderId="1" xfId="0" applyNumberFormat="1" applyFont="1" applyBorder="1"/>
    <xf numFmtId="0" fontId="30" fillId="5" borderId="0" xfId="0" applyFont="1" applyFill="1" applyAlignment="1">
      <alignment vertical="top"/>
    </xf>
    <xf numFmtId="43" fontId="21" fillId="0" borderId="1" xfId="2" applyFont="1" applyFill="1" applyBorder="1" applyAlignment="1">
      <alignment horizontal="right"/>
    </xf>
    <xf numFmtId="43" fontId="4" fillId="3" borderId="1" xfId="1" applyFont="1" applyFill="1" applyBorder="1" applyAlignment="1">
      <alignment vertical="top" wrapText="1"/>
    </xf>
    <xf numFmtId="43" fontId="5" fillId="3" borderId="1" xfId="1" applyFont="1" applyFill="1" applyBorder="1" applyAlignment="1">
      <alignment vertical="top" wrapText="1"/>
    </xf>
    <xf numFmtId="43" fontId="17" fillId="5" borderId="0" xfId="1" applyFont="1" applyFill="1"/>
    <xf numFmtId="43" fontId="17" fillId="0" borderId="0" xfId="1" applyFont="1"/>
    <xf numFmtId="43" fontId="18" fillId="5" borderId="0" xfId="1" applyFont="1" applyFill="1"/>
    <xf numFmtId="43" fontId="20" fillId="0" borderId="3" xfId="1" applyFont="1" applyBorder="1" applyAlignment="1">
      <alignment horizontal="center" vertical="center" wrapText="1"/>
    </xf>
    <xf numFmtId="43" fontId="26" fillId="0" borderId="1" xfId="1" applyFont="1" applyBorder="1" applyAlignment="1">
      <alignment horizontal="center" vertical="center" wrapText="1"/>
    </xf>
    <xf numFmtId="43" fontId="26" fillId="5" borderId="0" xfId="1" applyFont="1" applyFill="1" applyBorder="1" applyAlignment="1">
      <alignment horizontal="center" vertical="center" wrapText="1"/>
    </xf>
    <xf numFmtId="43" fontId="17" fillId="0" borderId="6" xfId="1" applyFont="1" applyBorder="1"/>
    <xf numFmtId="43" fontId="20" fillId="0" borderId="0" xfId="1" applyFont="1" applyAlignment="1">
      <alignment horizontal="center" vertical="center" wrapText="1"/>
    </xf>
    <xf numFmtId="43" fontId="20" fillId="5" borderId="0" xfId="1" applyFont="1" applyFill="1" applyAlignment="1">
      <alignment horizontal="center" vertical="center" wrapText="1"/>
    </xf>
    <xf numFmtId="43" fontId="20" fillId="0" borderId="1" xfId="1" applyFont="1" applyBorder="1" applyAlignment="1">
      <alignment horizontal="center" vertical="center" wrapText="1"/>
    </xf>
    <xf numFmtId="43" fontId="20" fillId="0" borderId="2" xfId="1" applyFont="1" applyBorder="1" applyAlignment="1">
      <alignment horizontal="center" vertical="center" wrapText="1"/>
    </xf>
    <xf numFmtId="43" fontId="20" fillId="5" borderId="0" xfId="1" applyFont="1" applyFill="1" applyBorder="1" applyAlignment="1">
      <alignment horizontal="center" vertical="center" wrapText="1"/>
    </xf>
    <xf numFmtId="43" fontId="20" fillId="0" borderId="0" xfId="1" applyFont="1" applyBorder="1" applyAlignment="1">
      <alignment horizontal="center" vertical="center" wrapText="1"/>
    </xf>
    <xf numFmtId="43" fontId="20" fillId="0" borderId="0" xfId="1" applyFont="1"/>
    <xf numFmtId="43" fontId="26" fillId="0" borderId="7" xfId="1" applyFont="1" applyBorder="1"/>
    <xf numFmtId="43" fontId="26" fillId="0" borderId="0" xfId="1" applyFont="1" applyBorder="1"/>
    <xf numFmtId="43" fontId="17" fillId="0" borderId="18" xfId="1" applyFont="1" applyBorder="1"/>
    <xf numFmtId="43" fontId="17" fillId="0" borderId="6" xfId="1" applyFont="1" applyBorder="1" applyAlignment="1">
      <alignment vertical="top" wrapText="1"/>
    </xf>
    <xf numFmtId="43" fontId="18" fillId="0" borderId="7" xfId="1" applyFont="1" applyBorder="1"/>
    <xf numFmtId="43" fontId="18" fillId="5" borderId="0" xfId="1" applyFont="1" applyFill="1" applyBorder="1"/>
    <xf numFmtId="43" fontId="17" fillId="0" borderId="12" xfId="1" applyFont="1" applyBorder="1" applyAlignment="1">
      <alignment vertical="top" wrapText="1"/>
    </xf>
    <xf numFmtId="43" fontId="18" fillId="0" borderId="6" xfId="1" applyFont="1" applyBorder="1"/>
    <xf numFmtId="43" fontId="18" fillId="5" borderId="6" xfId="1" applyFont="1" applyFill="1" applyBorder="1"/>
    <xf numFmtId="43" fontId="17" fillId="0" borderId="12" xfId="1" applyFont="1" applyBorder="1"/>
    <xf numFmtId="43" fontId="17" fillId="0" borderId="7" xfId="1" applyFont="1" applyBorder="1"/>
    <xf numFmtId="43" fontId="17" fillId="0" borderId="6" xfId="1" applyFont="1" applyBorder="1" applyAlignment="1">
      <alignment horizontal="center" vertical="top" wrapText="1"/>
    </xf>
    <xf numFmtId="43" fontId="23" fillId="5" borderId="0" xfId="1" applyFont="1" applyFill="1" applyBorder="1"/>
    <xf numFmtId="43" fontId="18" fillId="0" borderId="0" xfId="1" applyFont="1" applyBorder="1"/>
    <xf numFmtId="43" fontId="27" fillId="0" borderId="3" xfId="1" applyFont="1" applyBorder="1" applyAlignment="1">
      <alignment horizontal="center" vertical="center" wrapText="1"/>
    </xf>
    <xf numFmtId="43" fontId="4" fillId="3" borderId="1" xfId="1" applyFont="1" applyFill="1" applyBorder="1" applyAlignment="1">
      <alignment horizontal="right" vertical="center" wrapText="1"/>
    </xf>
    <xf numFmtId="43" fontId="21" fillId="5" borderId="1" xfId="1" applyFont="1" applyFill="1" applyBorder="1" applyAlignment="1">
      <alignment horizontal="right" vertical="center" wrapText="1"/>
    </xf>
    <xf numFmtId="43" fontId="4" fillId="5" borderId="1" xfId="1" applyFont="1" applyFill="1" applyBorder="1" applyAlignment="1">
      <alignment horizontal="right" vertical="center" wrapText="1"/>
    </xf>
    <xf numFmtId="43" fontId="27" fillId="0" borderId="3" xfId="1" applyFont="1" applyBorder="1" applyAlignment="1">
      <alignment horizontal="right" vertical="center" wrapText="1"/>
    </xf>
    <xf numFmtId="43" fontId="4" fillId="0" borderId="1" xfId="1" applyFont="1" applyFill="1" applyBorder="1" applyAlignment="1">
      <alignment horizontal="right" vertical="center" wrapText="1"/>
    </xf>
    <xf numFmtId="43" fontId="21" fillId="3" borderId="1" xfId="1" applyFont="1" applyFill="1" applyBorder="1" applyAlignment="1">
      <alignment horizontal="right" vertical="center" wrapText="1"/>
    </xf>
    <xf numFmtId="43" fontId="22" fillId="0" borderId="2" xfId="1" applyFont="1" applyBorder="1" applyAlignment="1">
      <alignment horizontal="center" vertical="center" wrapText="1"/>
    </xf>
    <xf numFmtId="43" fontId="22" fillId="0" borderId="3" xfId="1" applyFont="1" applyBorder="1" applyAlignment="1">
      <alignment horizontal="center" vertical="center" wrapText="1"/>
    </xf>
    <xf numFmtId="43" fontId="22" fillId="0" borderId="4" xfId="1" applyFont="1" applyBorder="1" applyAlignment="1">
      <alignment horizontal="center" vertical="center" wrapText="1"/>
    </xf>
    <xf numFmtId="43" fontId="22" fillId="0" borderId="1" xfId="1" applyFont="1" applyBorder="1" applyAlignment="1">
      <alignment horizontal="center" vertical="center" wrapText="1"/>
    </xf>
    <xf numFmtId="43" fontId="21" fillId="3" borderId="1" xfId="1" applyFont="1" applyFill="1" applyBorder="1" applyAlignment="1">
      <alignment vertical="top" wrapText="1"/>
    </xf>
    <xf numFmtId="43" fontId="21" fillId="3" borderId="1" xfId="1" applyFont="1" applyFill="1" applyBorder="1" applyAlignment="1">
      <alignment horizontal="right" vertical="top" wrapText="1"/>
    </xf>
    <xf numFmtId="43" fontId="22" fillId="3" borderId="4" xfId="1" applyFont="1" applyFill="1" applyBorder="1" applyAlignment="1">
      <alignment vertical="top" wrapText="1"/>
    </xf>
    <xf numFmtId="43" fontId="22" fillId="3" borderId="0" xfId="1" applyFont="1" applyFill="1" applyBorder="1" applyAlignment="1">
      <alignment vertical="top" wrapText="1"/>
    </xf>
    <xf numFmtId="43" fontId="22" fillId="3" borderId="8" xfId="1" applyFont="1" applyFill="1" applyBorder="1" applyAlignment="1">
      <alignment vertical="top" wrapText="1"/>
    </xf>
    <xf numFmtId="43" fontId="20" fillId="0" borderId="0" xfId="1" applyFont="1" applyBorder="1"/>
    <xf numFmtId="43" fontId="21" fillId="0" borderId="1" xfId="1" applyFont="1" applyBorder="1" applyAlignment="1">
      <alignment vertical="center" wrapText="1"/>
    </xf>
    <xf numFmtId="43" fontId="21" fillId="0" borderId="1" xfId="1" applyFont="1" applyBorder="1"/>
    <xf numFmtId="43" fontId="19" fillId="0" borderId="1" xfId="1" applyFont="1" applyBorder="1"/>
    <xf numFmtId="43" fontId="13" fillId="0" borderId="1" xfId="1" applyFont="1" applyBorder="1"/>
    <xf numFmtId="43" fontId="21" fillId="0" borderId="1" xfId="1" applyFont="1" applyBorder="1" applyAlignment="1">
      <alignment horizontal="center" vertical="center"/>
    </xf>
    <xf numFmtId="43" fontId="19" fillId="0" borderId="0" xfId="1" applyFont="1"/>
    <xf numFmtId="43" fontId="21" fillId="0" borderId="1" xfId="1" applyFont="1" applyBorder="1" applyAlignment="1">
      <alignment vertical="center"/>
    </xf>
    <xf numFmtId="43" fontId="21" fillId="0" borderId="4" xfId="1" applyFont="1" applyBorder="1" applyAlignment="1">
      <alignment vertical="center"/>
    </xf>
    <xf numFmtId="43" fontId="21" fillId="0" borderId="4" xfId="1" applyFont="1" applyBorder="1"/>
    <xf numFmtId="43" fontId="13" fillId="0" borderId="2" xfId="1" applyFont="1" applyBorder="1"/>
    <xf numFmtId="43" fontId="13" fillId="0" borderId="14" xfId="1" applyFont="1" applyBorder="1"/>
    <xf numFmtId="43" fontId="22" fillId="0" borderId="1" xfId="1" applyFont="1" applyBorder="1" applyAlignment="1">
      <alignment vertical="top"/>
    </xf>
    <xf numFmtId="43" fontId="19" fillId="0" borderId="5" xfId="1" applyFont="1" applyBorder="1"/>
    <xf numFmtId="43" fontId="22" fillId="0" borderId="1" xfId="1" applyFont="1" applyBorder="1" applyAlignment="1">
      <alignment horizontal="center" vertical="top"/>
    </xf>
    <xf numFmtId="43" fontId="13" fillId="0" borderId="0" xfId="1" applyFont="1" applyAlignment="1">
      <alignment horizontal="right"/>
    </xf>
    <xf numFmtId="43" fontId="22" fillId="3" borderId="1" xfId="1" applyFont="1" applyFill="1" applyBorder="1" applyAlignment="1">
      <alignment wrapText="1"/>
    </xf>
    <xf numFmtId="43" fontId="22" fillId="3" borderId="4" xfId="1" applyFont="1" applyFill="1" applyBorder="1" applyAlignment="1">
      <alignment wrapText="1"/>
    </xf>
    <xf numFmtId="43" fontId="22" fillId="3" borderId="8" xfId="1" applyFont="1" applyFill="1" applyBorder="1" applyAlignment="1">
      <alignment wrapText="1"/>
    </xf>
    <xf numFmtId="43" fontId="17" fillId="0" borderId="5" xfId="1" applyFont="1" applyBorder="1"/>
    <xf numFmtId="43" fontId="13" fillId="0" borderId="0" xfId="1" applyFont="1" applyAlignment="1"/>
    <xf numFmtId="43" fontId="22" fillId="0" borderId="0" xfId="1" applyFont="1" applyAlignment="1"/>
    <xf numFmtId="43" fontId="22" fillId="3" borderId="1" xfId="1" applyFont="1" applyFill="1" applyBorder="1" applyAlignment="1">
      <alignment horizontal="right" wrapText="1"/>
    </xf>
    <xf numFmtId="43" fontId="4" fillId="2" borderId="0" xfId="1" applyFont="1" applyFill="1" applyBorder="1" applyAlignment="1">
      <alignment horizontal="right" vertical="center"/>
    </xf>
    <xf numFmtId="43" fontId="22" fillId="3" borderId="4" xfId="1" applyFont="1" applyFill="1" applyBorder="1" applyAlignment="1">
      <alignment vertical="center" wrapText="1"/>
    </xf>
    <xf numFmtId="43" fontId="4" fillId="2" borderId="1" xfId="1" applyFont="1" applyFill="1" applyBorder="1" applyAlignment="1">
      <alignment horizontal="center" vertical="top" wrapText="1"/>
    </xf>
    <xf numFmtId="43" fontId="21" fillId="2" borderId="1" xfId="1" applyFont="1" applyFill="1" applyBorder="1" applyAlignment="1">
      <alignment horizontal="center" vertical="top" wrapText="1"/>
    </xf>
    <xf numFmtId="43" fontId="22" fillId="0" borderId="0" xfId="1" applyFont="1"/>
    <xf numFmtId="43" fontId="23" fillId="3" borderId="1" xfId="1" applyFont="1" applyFill="1" applyBorder="1" applyAlignment="1">
      <alignment vertical="top" wrapText="1"/>
    </xf>
    <xf numFmtId="43" fontId="23" fillId="3" borderId="8" xfId="1" applyFont="1" applyFill="1" applyBorder="1" applyAlignment="1">
      <alignment vertical="top" wrapText="1"/>
    </xf>
    <xf numFmtId="43" fontId="22" fillId="0" borderId="1" xfId="1" applyFont="1" applyBorder="1"/>
    <xf numFmtId="43" fontId="22" fillId="0" borderId="8" xfId="1" applyFont="1" applyBorder="1"/>
    <xf numFmtId="43" fontId="22" fillId="0" borderId="8" xfId="1" applyFont="1" applyBorder="1" applyAlignment="1">
      <alignment vertical="top"/>
    </xf>
    <xf numFmtId="43" fontId="5" fillId="3" borderId="1" xfId="1" applyFont="1" applyFill="1" applyBorder="1" applyAlignment="1">
      <alignment horizontal="center" vertical="top"/>
    </xf>
    <xf numFmtId="43" fontId="4" fillId="0" borderId="1" xfId="1" applyFont="1" applyFill="1" applyBorder="1" applyAlignment="1">
      <alignment vertical="top" wrapText="1"/>
    </xf>
    <xf numFmtId="43" fontId="4" fillId="0" borderId="1" xfId="3" applyFont="1" applyBorder="1"/>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5" fillId="3" borderId="4" xfId="0" applyFont="1" applyFill="1" applyBorder="1" applyAlignment="1">
      <alignment horizontal="center" vertical="center"/>
    </xf>
    <xf numFmtId="9" fontId="5" fillId="3" borderId="4" xfId="7"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3" fontId="5" fillId="3" borderId="4"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4" xfId="7" applyNumberFormat="1" applyFont="1" applyFill="1" applyBorder="1" applyAlignment="1">
      <alignment horizontal="center" vertical="center" wrapText="1"/>
    </xf>
    <xf numFmtId="164" fontId="5" fillId="3" borderId="1" xfId="0" applyNumberFormat="1" applyFont="1" applyFill="1" applyBorder="1" applyAlignment="1">
      <alignment horizontal="center" vertical="top" wrapText="1"/>
    </xf>
    <xf numFmtId="0" fontId="22" fillId="3" borderId="10" xfId="0" applyFont="1" applyFill="1" applyBorder="1" applyAlignment="1">
      <alignment horizontal="left" vertical="top"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9" fontId="4" fillId="3" borderId="4" xfId="7"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5" fillId="3" borderId="4" xfId="0" applyFont="1" applyFill="1" applyBorder="1" applyAlignment="1">
      <alignment horizontal="left" vertical="center" wrapText="1"/>
    </xf>
    <xf numFmtId="2" fontId="22" fillId="0" borderId="3" xfId="1" applyNumberFormat="1" applyFont="1" applyBorder="1" applyAlignment="1">
      <alignment horizontal="center" vertical="center" wrapText="1"/>
    </xf>
    <xf numFmtId="2" fontId="22" fillId="0" borderId="3" xfId="0" applyNumberFormat="1" applyFont="1" applyBorder="1" applyAlignment="1">
      <alignment horizontal="center" vertical="center" wrapText="1"/>
    </xf>
    <xf numFmtId="3" fontId="22" fillId="0" borderId="3" xfId="1" applyNumberFormat="1" applyFont="1" applyBorder="1" applyAlignment="1">
      <alignment horizontal="center" vertical="center" wrapText="1"/>
    </xf>
    <xf numFmtId="166" fontId="22" fillId="0" borderId="3" xfId="1" applyNumberFormat="1" applyFont="1" applyBorder="1" applyAlignment="1">
      <alignment horizontal="center" vertical="center" wrapText="1"/>
    </xf>
    <xf numFmtId="16" fontId="22" fillId="0" borderId="2" xfId="0" quotePrefix="1" applyNumberFormat="1" applyFont="1" applyBorder="1" applyAlignment="1">
      <alignment horizontal="center" vertical="center" wrapText="1"/>
    </xf>
    <xf numFmtId="0" fontId="4" fillId="3" borderId="2" xfId="0" applyFont="1" applyFill="1" applyBorder="1" applyAlignment="1">
      <alignment horizontal="left" vertical="center" wrapText="1"/>
    </xf>
    <xf numFmtId="164" fontId="5"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top" wrapText="1"/>
    </xf>
    <xf numFmtId="0" fontId="4" fillId="3" borderId="4" xfId="0" applyFont="1" applyFill="1" applyBorder="1" applyAlignment="1">
      <alignment horizontal="left" vertical="top" wrapText="1"/>
    </xf>
    <xf numFmtId="3" fontId="18" fillId="5" borderId="0" xfId="0" applyNumberFormat="1" applyFont="1" applyFill="1"/>
    <xf numFmtId="3" fontId="18" fillId="0" borderId="0" xfId="0" applyNumberFormat="1" applyFont="1"/>
    <xf numFmtId="0" fontId="18" fillId="0" borderId="0" xfId="0" applyFont="1" applyFill="1"/>
    <xf numFmtId="3" fontId="18" fillId="0" borderId="0" xfId="0" applyNumberFormat="1" applyFont="1" applyFill="1"/>
    <xf numFmtId="4" fontId="18" fillId="5" borderId="0" xfId="0" applyNumberFormat="1" applyFont="1" applyFill="1"/>
    <xf numFmtId="4" fontId="18" fillId="0" borderId="0" xfId="0" applyNumberFormat="1" applyFont="1"/>
    <xf numFmtId="4" fontId="18" fillId="6" borderId="0" xfId="0" applyNumberFormat="1" applyFont="1" applyFill="1"/>
    <xf numFmtId="4" fontId="18" fillId="0" borderId="0" xfId="0" applyNumberFormat="1" applyFont="1" applyFill="1"/>
    <xf numFmtId="0" fontId="5" fillId="5" borderId="0" xfId="0" applyFont="1" applyFill="1" applyBorder="1" applyAlignment="1">
      <alignment horizontal="left" vertical="top" wrapText="1"/>
    </xf>
    <xf numFmtId="3" fontId="4" fillId="9" borderId="1" xfId="0" applyNumberFormat="1" applyFont="1" applyFill="1" applyBorder="1" applyAlignment="1">
      <alignment horizontal="left" vertical="top" wrapText="1" indent="1"/>
    </xf>
    <xf numFmtId="0" fontId="0" fillId="9" borderId="0" xfId="0" applyFill="1"/>
    <xf numFmtId="3" fontId="4" fillId="10" borderId="1" xfId="0" applyNumberFormat="1" applyFont="1" applyFill="1" applyBorder="1" applyAlignment="1">
      <alignment horizontal="left" vertical="top" wrapText="1" indent="1"/>
    </xf>
    <xf numFmtId="3" fontId="4" fillId="10" borderId="1" xfId="0" applyNumberFormat="1" applyFont="1" applyFill="1" applyBorder="1" applyAlignment="1">
      <alignment horizontal="left" vertical="top" wrapText="1"/>
    </xf>
    <xf numFmtId="0" fontId="4" fillId="10" borderId="1" xfId="0" applyFont="1" applyFill="1" applyBorder="1" applyAlignment="1">
      <alignment horizontal="left" vertical="top" wrapText="1"/>
    </xf>
    <xf numFmtId="0" fontId="4" fillId="10" borderId="4" xfId="0" applyFont="1" applyFill="1" applyBorder="1" applyAlignment="1">
      <alignment horizontal="left" vertical="top" wrapText="1"/>
    </xf>
    <xf numFmtId="3" fontId="4" fillId="10" borderId="1" xfId="0" applyNumberFormat="1" applyFont="1" applyFill="1" applyBorder="1" applyAlignment="1">
      <alignment wrapText="1"/>
    </xf>
    <xf numFmtId="0" fontId="0" fillId="10" borderId="0" xfId="0" applyFill="1"/>
    <xf numFmtId="3" fontId="4" fillId="10" borderId="1" xfId="0" applyNumberFormat="1" applyFont="1" applyFill="1" applyBorder="1" applyAlignment="1">
      <alignment vertical="top" wrapText="1"/>
    </xf>
    <xf numFmtId="3" fontId="0" fillId="10" borderId="0" xfId="0" applyNumberFormat="1" applyFill="1"/>
    <xf numFmtId="0" fontId="22" fillId="6" borderId="8" xfId="0" applyFont="1" applyFill="1" applyBorder="1" applyAlignment="1">
      <alignment vertical="top" wrapText="1"/>
    </xf>
    <xf numFmtId="0" fontId="4" fillId="6" borderId="1" xfId="0" applyFont="1" applyFill="1" applyBorder="1" applyAlignment="1">
      <alignment horizontal="left" wrapText="1"/>
    </xf>
    <xf numFmtId="1" fontId="13" fillId="6" borderId="0" xfId="0" applyNumberFormat="1" applyFont="1" applyFill="1" applyAlignment="1">
      <alignment horizontal="right"/>
    </xf>
    <xf numFmtId="0" fontId="22" fillId="6" borderId="8" xfId="0" applyFont="1" applyFill="1" applyBorder="1" applyAlignment="1">
      <alignment wrapText="1"/>
    </xf>
    <xf numFmtId="3" fontId="13" fillId="6" borderId="0" xfId="0" applyNumberFormat="1" applyFont="1" applyFill="1" applyAlignment="1"/>
    <xf numFmtId="169" fontId="22" fillId="6" borderId="1" xfId="0" applyNumberFormat="1" applyFont="1" applyFill="1" applyBorder="1" applyAlignment="1">
      <alignment wrapText="1"/>
    </xf>
    <xf numFmtId="0" fontId="4" fillId="11" borderId="1" xfId="0" applyFont="1" applyFill="1" applyBorder="1" applyAlignment="1">
      <alignment wrapText="1"/>
    </xf>
    <xf numFmtId="0" fontId="22" fillId="11" borderId="1" xfId="0" applyFont="1" applyFill="1" applyBorder="1" applyAlignment="1">
      <alignment horizontal="center" vertical="top" wrapText="1"/>
    </xf>
    <xf numFmtId="0" fontId="22" fillId="11" borderId="1" xfId="0" applyFont="1" applyFill="1" applyBorder="1" applyAlignment="1">
      <alignment vertical="top" wrapText="1"/>
    </xf>
    <xf numFmtId="0" fontId="4" fillId="11" borderId="1" xfId="0" applyFont="1" applyFill="1" applyBorder="1" applyAlignment="1">
      <alignment horizontal="left" vertical="top" wrapText="1"/>
    </xf>
    <xf numFmtId="0" fontId="4" fillId="11" borderId="1" xfId="0" applyFont="1" applyFill="1" applyBorder="1" applyAlignment="1">
      <alignment horizontal="center" vertical="center" wrapText="1"/>
    </xf>
    <xf numFmtId="0" fontId="22" fillId="11" borderId="8" xfId="0" applyFont="1" applyFill="1" applyBorder="1" applyAlignment="1">
      <alignment vertical="top" wrapText="1"/>
    </xf>
    <xf numFmtId="169" fontId="22" fillId="11" borderId="1" xfId="0" applyNumberFormat="1" applyFont="1" applyFill="1" applyBorder="1" applyAlignment="1">
      <alignment wrapText="1"/>
    </xf>
    <xf numFmtId="0" fontId="22" fillId="11" borderId="4" xfId="0" applyFont="1" applyFill="1" applyBorder="1" applyAlignment="1">
      <alignment wrapText="1"/>
    </xf>
    <xf numFmtId="0" fontId="22" fillId="11" borderId="1" xfId="0" applyFont="1" applyFill="1" applyBorder="1" applyAlignment="1">
      <alignment wrapText="1"/>
    </xf>
    <xf numFmtId="168" fontId="22" fillId="11" borderId="1" xfId="4" applyNumberFormat="1" applyFont="1" applyFill="1" applyBorder="1" applyAlignment="1">
      <alignment wrapText="1"/>
    </xf>
    <xf numFmtId="0" fontId="22" fillId="11" borderId="8" xfId="0" applyFont="1" applyFill="1" applyBorder="1" applyAlignment="1">
      <alignment wrapText="1"/>
    </xf>
    <xf numFmtId="0" fontId="0" fillId="11" borderId="5" xfId="0" applyFill="1" applyBorder="1"/>
    <xf numFmtId="0" fontId="0" fillId="11" borderId="6" xfId="0" applyFill="1" applyBorder="1"/>
    <xf numFmtId="0" fontId="0" fillId="11" borderId="0" xfId="0" applyFill="1"/>
    <xf numFmtId="0" fontId="22" fillId="10" borderId="1" xfId="0" applyFont="1" applyFill="1" applyBorder="1" applyAlignment="1">
      <alignment horizontal="center" vertical="top" wrapText="1"/>
    </xf>
    <xf numFmtId="0" fontId="22" fillId="10" borderId="1" xfId="0" applyFont="1" applyFill="1" applyBorder="1" applyAlignment="1">
      <alignment vertical="top" wrapText="1"/>
    </xf>
    <xf numFmtId="0" fontId="4" fillId="10" borderId="1" xfId="0" applyFont="1" applyFill="1" applyBorder="1" applyAlignment="1">
      <alignment horizontal="center" vertical="center" wrapText="1"/>
    </xf>
    <xf numFmtId="0" fontId="22" fillId="10" borderId="8" xfId="0" applyFont="1" applyFill="1" applyBorder="1" applyAlignment="1">
      <alignment vertical="top" wrapText="1"/>
    </xf>
    <xf numFmtId="1" fontId="22" fillId="10" borderId="1" xfId="0" applyNumberFormat="1" applyFont="1" applyFill="1" applyBorder="1" applyAlignment="1">
      <alignment wrapText="1"/>
    </xf>
    <xf numFmtId="169" fontId="22" fillId="10" borderId="1" xfId="0" applyNumberFormat="1" applyFont="1" applyFill="1" applyBorder="1" applyAlignment="1">
      <alignment wrapText="1"/>
    </xf>
    <xf numFmtId="0" fontId="22" fillId="10" borderId="4" xfId="0" applyFont="1" applyFill="1" applyBorder="1" applyAlignment="1">
      <alignment wrapText="1"/>
    </xf>
    <xf numFmtId="0" fontId="22" fillId="10" borderId="1" xfId="0" applyFont="1" applyFill="1" applyBorder="1" applyAlignment="1">
      <alignment wrapText="1"/>
    </xf>
    <xf numFmtId="166" fontId="22" fillId="10" borderId="1" xfId="4" applyNumberFormat="1" applyFont="1" applyFill="1" applyBorder="1" applyAlignment="1">
      <alignment wrapText="1"/>
    </xf>
    <xf numFmtId="0" fontId="22" fillId="10" borderId="8" xfId="0" applyFont="1" applyFill="1" applyBorder="1" applyAlignment="1">
      <alignment wrapText="1"/>
    </xf>
    <xf numFmtId="166" fontId="0" fillId="10" borderId="5" xfId="0" applyNumberFormat="1" applyFill="1" applyBorder="1"/>
    <xf numFmtId="0" fontId="0" fillId="10" borderId="6" xfId="0" applyFill="1" applyBorder="1"/>
    <xf numFmtId="164" fontId="4" fillId="12" borderId="1" xfId="0" applyNumberFormat="1" applyFont="1" applyFill="1" applyBorder="1" applyAlignment="1">
      <alignment horizontal="center" vertical="center" wrapText="1"/>
    </xf>
    <xf numFmtId="0" fontId="4" fillId="10" borderId="1" xfId="0" applyFont="1" applyFill="1" applyBorder="1" applyAlignment="1">
      <alignment horizontal="left" wrapText="1"/>
    </xf>
    <xf numFmtId="168" fontId="22" fillId="10" borderId="1" xfId="4" applyNumberFormat="1" applyFont="1" applyFill="1" applyBorder="1" applyAlignment="1">
      <alignment wrapText="1"/>
    </xf>
    <xf numFmtId="0" fontId="0" fillId="10" borderId="5" xfId="0" applyFill="1" applyBorder="1"/>
    <xf numFmtId="1" fontId="4" fillId="10" borderId="0" xfId="0" applyNumberFormat="1" applyFont="1" applyFill="1" applyBorder="1" applyAlignment="1">
      <alignment horizontal="right" vertical="center"/>
    </xf>
    <xf numFmtId="0" fontId="22" fillId="10" borderId="4" xfId="0" applyFont="1" applyFill="1" applyBorder="1" applyAlignment="1">
      <alignment vertical="top" wrapText="1"/>
    </xf>
    <xf numFmtId="169" fontId="22" fillId="10" borderId="1" xfId="0" applyNumberFormat="1" applyFont="1" applyFill="1" applyBorder="1" applyAlignment="1">
      <alignment vertical="top" wrapText="1"/>
    </xf>
    <xf numFmtId="168" fontId="22" fillId="10" borderId="1" xfId="4" applyNumberFormat="1" applyFont="1" applyFill="1" applyBorder="1" applyAlignment="1">
      <alignment vertical="top" wrapText="1"/>
    </xf>
    <xf numFmtId="1" fontId="22" fillId="10" borderId="1" xfId="0" applyNumberFormat="1" applyFont="1" applyFill="1" applyBorder="1" applyAlignment="1">
      <alignment vertical="top" wrapText="1"/>
    </xf>
    <xf numFmtId="1" fontId="4" fillId="10" borderId="1" xfId="0" applyNumberFormat="1" applyFont="1" applyFill="1" applyBorder="1" applyAlignment="1">
      <alignment horizontal="right" vertical="top" wrapText="1"/>
    </xf>
    <xf numFmtId="0" fontId="21" fillId="3" borderId="1" xfId="0" applyFont="1" applyFill="1" applyBorder="1" applyAlignment="1">
      <alignment vertical="center" wrapText="1"/>
    </xf>
    <xf numFmtId="166" fontId="4" fillId="10" borderId="1" xfId="4" applyNumberFormat="1" applyFont="1" applyFill="1" applyBorder="1" applyAlignment="1">
      <alignment horizontal="center" vertical="top" wrapText="1"/>
    </xf>
    <xf numFmtId="166" fontId="21" fillId="10" borderId="1" xfId="4" applyNumberFormat="1" applyFont="1" applyFill="1" applyBorder="1" applyAlignment="1">
      <alignment horizontal="center" vertical="top" wrapText="1"/>
    </xf>
    <xf numFmtId="166" fontId="19" fillId="10" borderId="5" xfId="0" applyNumberFormat="1" applyFont="1" applyFill="1" applyBorder="1"/>
    <xf numFmtId="0" fontId="22" fillId="10" borderId="0" xfId="0" applyFont="1" applyFill="1"/>
    <xf numFmtId="0" fontId="4" fillId="10" borderId="2" xfId="0" applyFont="1" applyFill="1" applyBorder="1" applyAlignment="1">
      <alignment vertical="top" wrapText="1"/>
    </xf>
    <xf numFmtId="0" fontId="22" fillId="10" borderId="1" xfId="0" applyFont="1" applyFill="1" applyBorder="1" applyAlignment="1">
      <alignment horizontal="left" vertical="top" wrapText="1"/>
    </xf>
    <xf numFmtId="0" fontId="22" fillId="10" borderId="1" xfId="0" applyFont="1" applyFill="1" applyBorder="1" applyAlignment="1">
      <alignment horizontal="center" vertical="top"/>
    </xf>
    <xf numFmtId="166" fontId="22" fillId="10" borderId="1" xfId="4" applyNumberFormat="1" applyFont="1" applyFill="1" applyBorder="1" applyAlignment="1">
      <alignment vertical="top"/>
    </xf>
    <xf numFmtId="39" fontId="19" fillId="10" borderId="5" xfId="0" applyNumberFormat="1" applyFont="1" applyFill="1" applyBorder="1"/>
    <xf numFmtId="0" fontId="22" fillId="10" borderId="7" xfId="0" applyFont="1" applyFill="1" applyBorder="1" applyAlignment="1">
      <alignment horizontal="center" vertical="top" wrapText="1"/>
    </xf>
    <xf numFmtId="0" fontId="4" fillId="13" borderId="15" xfId="0" applyFont="1" applyFill="1" applyBorder="1" applyAlignment="1">
      <alignment vertical="center"/>
    </xf>
    <xf numFmtId="0" fontId="4" fillId="13" borderId="1" xfId="0" applyFont="1" applyFill="1" applyBorder="1" applyAlignment="1">
      <alignment vertical="center"/>
    </xf>
    <xf numFmtId="0" fontId="4" fillId="13" borderId="1" xfId="0" applyFont="1" applyFill="1" applyBorder="1" applyAlignment="1">
      <alignment horizontal="center" vertical="center"/>
    </xf>
    <xf numFmtId="0" fontId="4" fillId="13" borderId="7" xfId="0" applyFont="1" applyFill="1" applyBorder="1" applyAlignment="1">
      <alignment vertical="top" wrapText="1"/>
    </xf>
    <xf numFmtId="0" fontId="4" fillId="13" borderId="1" xfId="0" applyFont="1" applyFill="1" applyBorder="1"/>
    <xf numFmtId="0" fontId="4" fillId="13" borderId="8" xfId="0" applyFont="1" applyFill="1" applyBorder="1"/>
    <xf numFmtId="0" fontId="4" fillId="13" borderId="15" xfId="0" applyFont="1" applyFill="1" applyBorder="1"/>
    <xf numFmtId="0" fontId="4" fillId="13" borderId="7" xfId="0" applyFont="1" applyFill="1" applyBorder="1"/>
    <xf numFmtId="166" fontId="4" fillId="13" borderId="1" xfId="1" applyNumberFormat="1" applyFont="1" applyFill="1" applyBorder="1" applyAlignment="1">
      <alignment vertical="center"/>
    </xf>
    <xf numFmtId="166" fontId="31" fillId="13" borderId="0" xfId="0" applyNumberFormat="1" applyFont="1" applyFill="1"/>
    <xf numFmtId="166" fontId="4" fillId="13" borderId="4" xfId="1" applyNumberFormat="1" applyFont="1" applyFill="1" applyBorder="1" applyAlignment="1">
      <alignment vertical="center"/>
    </xf>
    <xf numFmtId="0" fontId="4" fillId="13" borderId="4" xfId="0" applyFont="1" applyFill="1" applyBorder="1"/>
    <xf numFmtId="166" fontId="31" fillId="13" borderId="1" xfId="0" applyNumberFormat="1" applyFont="1" applyFill="1" applyBorder="1"/>
    <xf numFmtId="0" fontId="31" fillId="13" borderId="6" xfId="0" applyFont="1" applyFill="1" applyBorder="1"/>
    <xf numFmtId="0" fontId="31" fillId="13" borderId="0" xfId="0" applyFont="1" applyFill="1"/>
    <xf numFmtId="0" fontId="0" fillId="13" borderId="0" xfId="0" applyFill="1"/>
    <xf numFmtId="0" fontId="4" fillId="10" borderId="1" xfId="0" applyFont="1" applyFill="1" applyBorder="1" applyAlignment="1">
      <alignment vertical="top" wrapText="1"/>
    </xf>
    <xf numFmtId="166" fontId="22" fillId="10" borderId="1" xfId="1" applyNumberFormat="1" applyFont="1" applyFill="1" applyBorder="1" applyAlignment="1">
      <alignment vertical="top" wrapText="1"/>
    </xf>
    <xf numFmtId="166" fontId="20" fillId="10" borderId="0" xfId="0" applyNumberFormat="1" applyFont="1" applyFill="1" applyBorder="1"/>
    <xf numFmtId="0" fontId="20" fillId="10" borderId="6" xfId="0" applyFont="1" applyFill="1" applyBorder="1"/>
    <xf numFmtId="0" fontId="20" fillId="10" borderId="0" xfId="0" applyFont="1" applyFill="1"/>
    <xf numFmtId="165" fontId="4" fillId="10" borderId="1" xfId="4" applyNumberFormat="1" applyFont="1" applyFill="1" applyBorder="1" applyAlignment="1">
      <alignment horizontal="center" vertical="center" wrapText="1"/>
    </xf>
    <xf numFmtId="4" fontId="21" fillId="10" borderId="1" xfId="0" applyNumberFormat="1" applyFont="1" applyFill="1" applyBorder="1" applyAlignment="1">
      <alignment horizontal="center" vertical="center" wrapText="1"/>
    </xf>
    <xf numFmtId="39" fontId="21" fillId="10" borderId="1" xfId="0" applyNumberFormat="1" applyFont="1" applyFill="1" applyBorder="1" applyAlignment="1">
      <alignment horizontal="center" vertical="center" wrapText="1"/>
    </xf>
    <xf numFmtId="0" fontId="22" fillId="0" borderId="0" xfId="0" applyNumberFormat="1" applyFont="1" applyBorder="1" applyAlignment="1">
      <alignment wrapText="1"/>
    </xf>
    <xf numFmtId="0" fontId="22" fillId="0" borderId="0" xfId="0" applyNumberFormat="1" applyFont="1" applyAlignment="1">
      <alignment wrapText="1"/>
    </xf>
    <xf numFmtId="0" fontId="23" fillId="0" borderId="0" xfId="0" applyNumberFormat="1" applyFont="1" applyAlignment="1">
      <alignment wrapText="1"/>
    </xf>
    <xf numFmtId="0" fontId="4" fillId="0" borderId="1" xfId="0" applyNumberFormat="1" applyFont="1" applyFill="1" applyBorder="1" applyAlignment="1">
      <alignment horizontal="left" vertical="top" wrapText="1"/>
    </xf>
    <xf numFmtId="0" fontId="22" fillId="0" borderId="1" xfId="0" applyNumberFormat="1" applyFont="1" applyBorder="1" applyAlignment="1">
      <alignment horizontal="center" vertical="top" wrapText="1"/>
    </xf>
    <xf numFmtId="0" fontId="22" fillId="0" borderId="1" xfId="0" applyNumberFormat="1" applyFont="1" applyBorder="1" applyAlignment="1">
      <alignment horizontal="left" vertical="top" wrapText="1"/>
    </xf>
    <xf numFmtId="0" fontId="0" fillId="0" borderId="0" xfId="0" applyNumberFormat="1" applyAlignment="1">
      <alignment wrapText="1"/>
    </xf>
    <xf numFmtId="0" fontId="23" fillId="0" borderId="1" xfId="0" applyNumberFormat="1" applyFont="1" applyBorder="1" applyAlignment="1">
      <alignment wrapText="1"/>
    </xf>
    <xf numFmtId="4" fontId="23" fillId="0" borderId="0" xfId="0" applyNumberFormat="1" applyFont="1" applyBorder="1" applyAlignment="1">
      <alignment wrapText="1"/>
    </xf>
    <xf numFmtId="0" fontId="0" fillId="0" borderId="0" xfId="0" applyNumberFormat="1" applyBorder="1" applyAlignment="1">
      <alignment wrapText="1"/>
    </xf>
    <xf numFmtId="0" fontId="4" fillId="0" borderId="1" xfId="0" applyNumberFormat="1" applyFont="1" applyFill="1" applyBorder="1" applyAlignment="1">
      <alignment horizontal="left" vertical="top"/>
    </xf>
    <xf numFmtId="0" fontId="23" fillId="0" borderId="1" xfId="0" applyNumberFormat="1" applyFont="1" applyBorder="1" applyAlignment="1">
      <alignment horizontal="center" vertical="center" wrapText="1"/>
    </xf>
    <xf numFmtId="0" fontId="23" fillId="0" borderId="1" xfId="0" applyNumberFormat="1" applyFont="1" applyBorder="1" applyAlignment="1">
      <alignment horizontal="center" wrapText="1"/>
    </xf>
    <xf numFmtId="43" fontId="4" fillId="0" borderId="1" xfId="0" applyNumberFormat="1" applyFont="1" applyFill="1" applyBorder="1" applyAlignment="1">
      <alignment horizontal="left" vertical="top" wrapText="1"/>
    </xf>
    <xf numFmtId="43" fontId="22" fillId="0" borderId="1" xfId="0" applyNumberFormat="1" applyFont="1" applyBorder="1" applyAlignment="1">
      <alignment wrapText="1"/>
    </xf>
    <xf numFmtId="43" fontId="22" fillId="0" borderId="1" xfId="1" applyNumberFormat="1" applyFont="1" applyBorder="1" applyAlignment="1">
      <alignment horizontal="right" vertical="top" wrapText="1"/>
    </xf>
    <xf numFmtId="43" fontId="22" fillId="0" borderId="1" xfId="0" applyNumberFormat="1" applyFont="1" applyBorder="1" applyAlignment="1">
      <alignment horizontal="right" vertical="top" wrapText="1"/>
    </xf>
    <xf numFmtId="43" fontId="23" fillId="0" borderId="1" xfId="0" applyNumberFormat="1" applyFont="1" applyBorder="1" applyAlignment="1">
      <alignment wrapText="1"/>
    </xf>
    <xf numFmtId="0" fontId="23" fillId="0" borderId="0" xfId="0" applyNumberFormat="1" applyFont="1" applyBorder="1" applyAlignment="1">
      <alignment horizontal="center" wrapText="1"/>
    </xf>
    <xf numFmtId="0" fontId="23" fillId="0" borderId="1" xfId="0" applyNumberFormat="1" applyFont="1" applyBorder="1" applyAlignment="1">
      <alignment horizontal="center" wrapText="1"/>
    </xf>
    <xf numFmtId="0" fontId="5" fillId="3"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22" fillId="0" borderId="1" xfId="0" applyNumberFormat="1" applyFont="1" applyBorder="1" applyAlignment="1">
      <alignment horizontal="center" vertical="center" wrapText="1"/>
    </xf>
    <xf numFmtId="0" fontId="0" fillId="0" borderId="0" xfId="0" applyNumberFormat="1" applyAlignment="1">
      <alignment vertical="top"/>
    </xf>
    <xf numFmtId="164" fontId="5" fillId="3" borderId="8" xfId="0" quotePrefix="1"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1" xfId="0" quotePrefix="1" applyNumberFormat="1" applyFont="1" applyFill="1" applyBorder="1" applyAlignment="1">
      <alignment horizontal="center" vertical="center"/>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5" fillId="3" borderId="2" xfId="0" applyFont="1" applyFill="1" applyBorder="1" applyAlignment="1">
      <alignment horizontal="justify" vertical="top" wrapText="1"/>
    </xf>
    <xf numFmtId="0" fontId="5" fillId="3" borderId="3" xfId="0" applyFont="1" applyFill="1" applyBorder="1" applyAlignment="1">
      <alignment horizontal="justify" vertical="top" wrapText="1"/>
    </xf>
    <xf numFmtId="0" fontId="5" fillId="3" borderId="4" xfId="0" applyFont="1" applyFill="1" applyBorder="1" applyAlignment="1">
      <alignment horizontal="justify" vertical="top"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164" fontId="5" fillId="3" borderId="8" xfId="0" applyNumberFormat="1" applyFont="1" applyFill="1" applyBorder="1" applyAlignment="1">
      <alignment horizontal="center" vertical="center"/>
    </xf>
    <xf numFmtId="9" fontId="5" fillId="3" borderId="2" xfId="7" applyFont="1" applyFill="1" applyBorder="1" applyAlignment="1">
      <alignment horizontal="center" vertical="center" wrapText="1"/>
    </xf>
    <xf numFmtId="9" fontId="5" fillId="3" borderId="4" xfId="7" applyFont="1" applyFill="1" applyBorder="1" applyAlignment="1">
      <alignment horizontal="center" vertical="center" wrapText="1"/>
    </xf>
    <xf numFmtId="0" fontId="4" fillId="3" borderId="17" xfId="0" applyFont="1" applyFill="1" applyBorder="1" applyAlignment="1">
      <alignment horizontal="center" vertical="top" wrapText="1"/>
    </xf>
    <xf numFmtId="0" fontId="4" fillId="3" borderId="18"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164" fontId="5" fillId="3" borderId="10" xfId="0" quotePrefix="1" applyNumberFormat="1" applyFont="1" applyFill="1" applyBorder="1" applyAlignment="1">
      <alignment horizontal="center" vertical="center"/>
    </xf>
    <xf numFmtId="164" fontId="5" fillId="3" borderId="7" xfId="0" quotePrefix="1" applyNumberFormat="1"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2" xfId="0" applyFont="1" applyFill="1" applyBorder="1" applyAlignment="1">
      <alignment horizontal="justify" vertical="top" wrapText="1"/>
    </xf>
    <xf numFmtId="0" fontId="4" fillId="3" borderId="3" xfId="0" applyFont="1" applyFill="1" applyBorder="1" applyAlignment="1">
      <alignment horizontal="justify"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horizontal="justify" vertical="top"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horizontal="center" wrapText="1"/>
    </xf>
    <xf numFmtId="0" fontId="22" fillId="0" borderId="1" xfId="0" applyNumberFormat="1" applyFont="1" applyBorder="1" applyAlignment="1">
      <alignment wrapText="1"/>
    </xf>
    <xf numFmtId="0" fontId="22" fillId="0" borderId="1" xfId="0" applyNumberFormat="1" applyFont="1" applyBorder="1" applyAlignment="1">
      <alignment vertical="center" wrapText="1"/>
    </xf>
    <xf numFmtId="0" fontId="23" fillId="0" borderId="1" xfId="0" applyFont="1" applyFill="1" applyBorder="1" applyAlignment="1">
      <alignment horizontal="center" vertical="center" wrapText="1"/>
    </xf>
    <xf numFmtId="0" fontId="22" fillId="0" borderId="1" xfId="0" applyFont="1" applyBorder="1" applyAlignment="1">
      <alignment vertical="center"/>
    </xf>
    <xf numFmtId="0" fontId="23" fillId="4" borderId="1" xfId="0" applyFont="1" applyFill="1" applyBorder="1" applyAlignment="1">
      <alignment horizontal="center" vertical="center"/>
    </xf>
    <xf numFmtId="0" fontId="23" fillId="0" borderId="1" xfId="0" applyFont="1" applyBorder="1" applyAlignment="1">
      <alignment horizontal="center" vertical="center"/>
    </xf>
    <xf numFmtId="0" fontId="23" fillId="4" borderId="2"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8"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3" fillId="4" borderId="8" xfId="0" applyFont="1" applyFill="1" applyBorder="1" applyAlignment="1">
      <alignment horizontal="center" vertical="center" wrapText="1"/>
    </xf>
    <xf numFmtId="164" fontId="5" fillId="3" borderId="8" xfId="0" applyNumberFormat="1" applyFont="1" applyFill="1" applyBorder="1" applyAlignment="1">
      <alignment horizontal="center" vertical="top" wrapText="1"/>
    </xf>
    <xf numFmtId="164" fontId="5" fillId="3" borderId="10" xfId="0" applyNumberFormat="1" applyFont="1" applyFill="1" applyBorder="1" applyAlignment="1">
      <alignment horizontal="center" vertical="top" wrapText="1"/>
    </xf>
    <xf numFmtId="164" fontId="5" fillId="3" borderId="7" xfId="0" applyNumberFormat="1" applyFont="1" applyFill="1" applyBorder="1" applyAlignment="1">
      <alignment horizontal="center" vertical="top" wrapText="1"/>
    </xf>
    <xf numFmtId="164" fontId="5" fillId="3" borderId="8" xfId="0" quotePrefix="1" applyNumberFormat="1" applyFont="1" applyFill="1" applyBorder="1" applyAlignment="1">
      <alignment horizontal="center" vertical="top"/>
    </xf>
    <xf numFmtId="164" fontId="5" fillId="3" borderId="10" xfId="0" quotePrefix="1" applyNumberFormat="1" applyFont="1" applyFill="1" applyBorder="1" applyAlignment="1">
      <alignment horizontal="center" vertical="top"/>
    </xf>
    <xf numFmtId="164" fontId="5" fillId="3" borderId="7" xfId="0" quotePrefix="1" applyNumberFormat="1" applyFont="1" applyFill="1" applyBorder="1" applyAlignment="1">
      <alignment horizontal="center" vertical="top"/>
    </xf>
    <xf numFmtId="164" fontId="4" fillId="12" borderId="11" xfId="0" applyNumberFormat="1" applyFont="1" applyFill="1" applyBorder="1" applyAlignment="1">
      <alignment horizontal="center" vertical="center" wrapText="1"/>
    </xf>
    <xf numFmtId="164" fontId="4" fillId="12" borderId="13" xfId="0" quotePrefix="1" applyNumberFormat="1" applyFont="1" applyFill="1" applyBorder="1" applyAlignment="1">
      <alignment horizontal="center" vertical="center" wrapText="1"/>
    </xf>
    <xf numFmtId="0" fontId="0" fillId="12" borderId="13" xfId="0" applyFill="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166" fontId="4" fillId="3" borderId="2" xfId="0" applyNumberFormat="1" applyFont="1" applyFill="1" applyBorder="1" applyAlignment="1">
      <alignment horizontal="left" vertical="top"/>
    </xf>
    <xf numFmtId="0" fontId="4" fillId="3" borderId="3" xfId="0" applyFont="1" applyFill="1" applyBorder="1" applyAlignment="1">
      <alignment horizontal="left" vertical="top"/>
    </xf>
    <xf numFmtId="0" fontId="4" fillId="3" borderId="4" xfId="0" applyFont="1" applyFill="1" applyBorder="1" applyAlignment="1">
      <alignment horizontal="left" vertical="top"/>
    </xf>
    <xf numFmtId="4" fontId="4" fillId="3" borderId="2" xfId="5" applyNumberFormat="1" applyFont="1" applyFill="1" applyBorder="1" applyAlignment="1">
      <alignment horizontal="right" vertical="top"/>
    </xf>
    <xf numFmtId="4" fontId="4" fillId="3" borderId="3" xfId="5" applyNumberFormat="1" applyFont="1" applyFill="1" applyBorder="1" applyAlignment="1">
      <alignment horizontal="right" vertical="top"/>
    </xf>
    <xf numFmtId="4" fontId="4" fillId="3" borderId="4" xfId="5" applyNumberFormat="1" applyFont="1" applyFill="1" applyBorder="1" applyAlignment="1">
      <alignment horizontal="right" vertical="top"/>
    </xf>
    <xf numFmtId="0" fontId="4" fillId="3" borderId="2" xfId="0" applyFont="1" applyFill="1" applyBorder="1" applyAlignment="1">
      <alignment horizontal="left" vertical="top"/>
    </xf>
    <xf numFmtId="4" fontId="21" fillId="3" borderId="2" xfId="0" applyNumberFormat="1" applyFont="1" applyFill="1" applyBorder="1" applyAlignment="1">
      <alignment horizontal="left" vertical="top"/>
    </xf>
    <xf numFmtId="4" fontId="21" fillId="3" borderId="3" xfId="0" applyNumberFormat="1" applyFont="1" applyFill="1" applyBorder="1" applyAlignment="1">
      <alignment horizontal="left" vertical="top"/>
    </xf>
    <xf numFmtId="4" fontId="21" fillId="3" borderId="4" xfId="0" applyNumberFormat="1" applyFont="1" applyFill="1" applyBorder="1" applyAlignment="1">
      <alignment horizontal="left" vertical="top"/>
    </xf>
    <xf numFmtId="166" fontId="4" fillId="3" borderId="2" xfId="5" applyNumberFormat="1" applyFont="1" applyFill="1" applyBorder="1" applyAlignment="1">
      <alignment horizontal="right" vertical="top"/>
    </xf>
    <xf numFmtId="166" fontId="4" fillId="3" borderId="3" xfId="5" applyNumberFormat="1" applyFont="1" applyFill="1" applyBorder="1" applyAlignment="1">
      <alignment horizontal="right" vertical="top"/>
    </xf>
    <xf numFmtId="166" fontId="4" fillId="3" borderId="4" xfId="5" applyNumberFormat="1" applyFont="1" applyFill="1" applyBorder="1" applyAlignment="1">
      <alignment horizontal="right" vertical="top"/>
    </xf>
    <xf numFmtId="164" fontId="4" fillId="3" borderId="1" xfId="0" quotePrefix="1"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3" fontId="5" fillId="2" borderId="2" xfId="7" applyNumberFormat="1" applyFont="1" applyFill="1" applyBorder="1" applyAlignment="1">
      <alignment horizontal="center" vertical="center" wrapText="1"/>
    </xf>
    <xf numFmtId="3" fontId="5" fillId="3" borderId="4" xfId="7" applyNumberFormat="1" applyFont="1" applyFill="1" applyBorder="1" applyAlignment="1">
      <alignment horizontal="center" vertical="center" wrapText="1"/>
    </xf>
    <xf numFmtId="0" fontId="22" fillId="3" borderId="8" xfId="0" applyFont="1" applyFill="1" applyBorder="1" applyAlignment="1">
      <alignment horizontal="left" vertical="top" wrapText="1"/>
    </xf>
    <xf numFmtId="0" fontId="22" fillId="3" borderId="10" xfId="0" applyFont="1" applyFill="1" applyBorder="1" applyAlignment="1">
      <alignment horizontal="left" vertical="top" wrapText="1"/>
    </xf>
    <xf numFmtId="0" fontId="22" fillId="3" borderId="7" xfId="0" applyFont="1" applyFill="1" applyBorder="1" applyAlignment="1">
      <alignment horizontal="left" vertical="top" wrapText="1"/>
    </xf>
    <xf numFmtId="3" fontId="5" fillId="2" borderId="2"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64" fontId="4" fillId="3" borderId="8" xfId="0" applyNumberFormat="1" applyFont="1" applyFill="1" applyBorder="1" applyAlignment="1">
      <alignment horizontal="center" vertical="center" wrapText="1"/>
    </xf>
    <xf numFmtId="164" fontId="4" fillId="3" borderId="10" xfId="0" applyNumberFormat="1" applyFont="1" applyFill="1" applyBorder="1" applyAlignment="1">
      <alignment horizontal="center" vertical="center" wrapText="1"/>
    </xf>
    <xf numFmtId="9" fontId="4" fillId="3" borderId="2" xfId="7" applyFont="1" applyFill="1" applyBorder="1" applyAlignment="1">
      <alignment horizontal="center" vertical="center" wrapText="1"/>
    </xf>
    <xf numFmtId="9" fontId="4" fillId="3" borderId="4" xfId="7" applyFont="1" applyFill="1" applyBorder="1" applyAlignment="1">
      <alignment horizontal="center" vertical="center" wrapText="1"/>
    </xf>
    <xf numFmtId="164" fontId="4" fillId="3" borderId="8" xfId="0" quotePrefix="1" applyNumberFormat="1" applyFont="1" applyFill="1" applyBorder="1" applyAlignment="1">
      <alignment horizontal="center" vertical="center" wrapText="1"/>
    </xf>
    <xf numFmtId="164" fontId="4" fillId="3" borderId="10" xfId="0" quotePrefix="1" applyNumberFormat="1" applyFont="1" applyFill="1" applyBorder="1" applyAlignment="1">
      <alignment horizontal="center" vertical="center" wrapText="1"/>
    </xf>
    <xf numFmtId="164" fontId="4" fillId="3" borderId="7" xfId="0" quotePrefix="1"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23" fillId="3" borderId="8" xfId="0" applyFont="1" applyFill="1" applyBorder="1" applyAlignment="1">
      <alignment horizontal="left" vertical="top" wrapText="1"/>
    </xf>
    <xf numFmtId="0" fontId="23" fillId="3" borderId="10" xfId="0" applyFont="1" applyFill="1" applyBorder="1" applyAlignment="1">
      <alignment horizontal="left" vertical="top" wrapText="1"/>
    </xf>
    <xf numFmtId="0" fontId="23" fillId="3" borderId="7" xfId="0" applyFont="1" applyFill="1" applyBorder="1" applyAlignment="1">
      <alignment horizontal="left" vertical="top"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4" fillId="3" borderId="8" xfId="0" applyFont="1" applyFill="1" applyBorder="1" applyAlignment="1">
      <alignment horizontal="left" vertical="top"/>
    </xf>
    <xf numFmtId="0" fontId="24" fillId="3" borderId="10" xfId="0" applyFont="1" applyFill="1" applyBorder="1" applyAlignment="1">
      <alignment horizontal="left" vertical="top"/>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wrapText="1"/>
    </xf>
    <xf numFmtId="9" fontId="4" fillId="3" borderId="1" xfId="7"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1" xfId="0" applyNumberFormat="1" applyFont="1" applyBorder="1" applyAlignment="1">
      <alignment horizontal="center" vertical="center" wrapText="1"/>
    </xf>
    <xf numFmtId="0" fontId="13" fillId="0" borderId="14"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 xfId="0" applyFont="1" applyBorder="1" applyAlignment="1">
      <alignment horizontal="center" vertical="center"/>
    </xf>
    <xf numFmtId="0" fontId="13" fillId="0" borderId="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7" xfId="0" applyFont="1" applyBorder="1" applyAlignment="1">
      <alignment horizontal="center" vertical="center" wrapText="1"/>
    </xf>
    <xf numFmtId="0" fontId="22" fillId="0" borderId="21" xfId="0" applyFont="1" applyBorder="1" applyAlignment="1">
      <alignment wrapText="1"/>
    </xf>
    <xf numFmtId="0" fontId="22" fillId="0" borderId="28" xfId="0" applyFont="1" applyBorder="1" applyAlignment="1">
      <alignment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3" xfId="0" applyFont="1" applyBorder="1" applyAlignment="1">
      <alignment horizontal="center" vertical="center"/>
    </xf>
    <xf numFmtId="0" fontId="13" fillId="0" borderId="27" xfId="0" applyFont="1" applyBorder="1" applyAlignment="1">
      <alignment horizontal="center" vertical="center"/>
    </xf>
    <xf numFmtId="0" fontId="13" fillId="0" borderId="29" xfId="0" applyFont="1" applyBorder="1" applyAlignment="1">
      <alignment horizontal="center" vertical="center"/>
    </xf>
    <xf numFmtId="0" fontId="13" fillId="0" borderId="14" xfId="0" applyFont="1" applyBorder="1" applyAlignment="1">
      <alignment horizontal="center" vertical="center"/>
    </xf>
    <xf numFmtId="0" fontId="13" fillId="0" borderId="20" xfId="0" applyFont="1" applyBorder="1" applyAlignment="1">
      <alignment horizontal="center" wrapText="1"/>
    </xf>
    <xf numFmtId="0" fontId="22" fillId="0" borderId="28" xfId="0" applyFont="1" applyBorder="1" applyAlignment="1"/>
    <xf numFmtId="0" fontId="22" fillId="3" borderId="1" xfId="0" applyFont="1" applyFill="1" applyBorder="1" applyAlignment="1">
      <alignment horizontal="left" vertical="top" wrapText="1"/>
    </xf>
    <xf numFmtId="0" fontId="4" fillId="3" borderId="2" xfId="0" applyFont="1" applyFill="1" applyBorder="1" applyAlignment="1">
      <alignment horizontal="left" vertical="center" wrapText="1"/>
    </xf>
    <xf numFmtId="0" fontId="22" fillId="3" borderId="4"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2" xfId="0" applyFont="1" applyFill="1" applyBorder="1" applyAlignment="1">
      <alignment horizontal="center" vertical="top"/>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2" xfId="0" applyFont="1" applyFill="1" applyBorder="1" applyAlignment="1">
      <alignment horizontal="left"/>
    </xf>
    <xf numFmtId="0" fontId="22" fillId="3" borderId="3" xfId="0" applyFont="1" applyFill="1" applyBorder="1" applyAlignment="1">
      <alignment horizontal="left"/>
    </xf>
    <xf numFmtId="0" fontId="22" fillId="3" borderId="4" xfId="0" applyFont="1" applyFill="1" applyBorder="1" applyAlignment="1">
      <alignment horizontal="left"/>
    </xf>
    <xf numFmtId="0" fontId="4" fillId="3" borderId="2"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4" xfId="0" applyFont="1" applyFill="1" applyBorder="1" applyAlignment="1"/>
    <xf numFmtId="164" fontId="5" fillId="3" borderId="1" xfId="0" quotePrefix="1"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8" xfId="0" quotePrefix="1" applyNumberFormat="1" applyFont="1" applyFill="1" applyBorder="1" applyAlignment="1">
      <alignment horizontal="center" vertical="center" wrapText="1"/>
    </xf>
    <xf numFmtId="164" fontId="5" fillId="3" borderId="10" xfId="0" applyNumberFormat="1"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3" fontId="22" fillId="0" borderId="2" xfId="1" applyNumberFormat="1" applyFont="1" applyBorder="1" applyAlignment="1">
      <alignment horizontal="center" vertical="center" wrapText="1"/>
    </xf>
    <xf numFmtId="3" fontId="22" fillId="0" borderId="3" xfId="1"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3" fontId="22" fillId="0" borderId="5" xfId="1" applyNumberFormat="1" applyFont="1" applyBorder="1" applyAlignment="1">
      <alignment horizontal="center" vertical="center" wrapText="1"/>
    </xf>
    <xf numFmtId="3" fontId="22" fillId="0" borderId="5" xfId="0" applyNumberFormat="1" applyFont="1" applyBorder="1" applyAlignment="1">
      <alignment horizontal="center" vertical="center" wrapText="1"/>
    </xf>
    <xf numFmtId="166" fontId="22" fillId="0" borderId="2" xfId="1" applyNumberFormat="1" applyFont="1" applyBorder="1" applyAlignment="1">
      <alignment horizontal="center" vertical="center" wrapText="1"/>
    </xf>
    <xf numFmtId="166" fontId="22" fillId="0" borderId="3" xfId="1" applyNumberFormat="1"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4" fillId="0" borderId="13" xfId="0" applyFont="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2" fontId="22" fillId="0" borderId="2" xfId="1" applyNumberFormat="1" applyFont="1" applyBorder="1" applyAlignment="1">
      <alignment horizontal="center" vertical="center" wrapText="1"/>
    </xf>
    <xf numFmtId="2" fontId="22" fillId="0" borderId="3" xfId="1" applyNumberFormat="1" applyFont="1" applyBorder="1" applyAlignment="1">
      <alignment horizontal="center" vertical="center" wrapText="1"/>
    </xf>
    <xf numFmtId="2" fontId="22" fillId="0" borderId="3" xfId="0" applyNumberFormat="1" applyFont="1" applyBorder="1" applyAlignment="1">
      <alignment horizontal="center" vertical="center" wrapText="1"/>
    </xf>
    <xf numFmtId="16" fontId="22" fillId="0" borderId="2" xfId="0" quotePrefix="1" applyNumberFormat="1" applyFont="1" applyBorder="1" applyAlignment="1">
      <alignment horizontal="center" vertical="center" wrapText="1"/>
    </xf>
    <xf numFmtId="16" fontId="22" fillId="0" borderId="3" xfId="0" quotePrefix="1"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13" xfId="0" applyFont="1" applyFill="1" applyBorder="1" applyAlignment="1">
      <alignment horizontal="left" vertical="center" wrapText="1"/>
    </xf>
    <xf numFmtId="164" fontId="5" fillId="3" borderId="1" xfId="0" quotePrefix="1" applyNumberFormat="1" applyFont="1" applyFill="1" applyBorder="1" applyAlignment="1">
      <alignment horizontal="center" vertical="top"/>
    </xf>
    <xf numFmtId="164" fontId="5" fillId="3" borderId="1" xfId="0" applyNumberFormat="1" applyFont="1" applyFill="1" applyBorder="1" applyAlignment="1">
      <alignment horizontal="center" vertical="top" wrapText="1"/>
    </xf>
    <xf numFmtId="9" fontId="4" fillId="6" borderId="2" xfId="7" applyFont="1" applyFill="1" applyBorder="1" applyAlignment="1">
      <alignment horizontal="center" vertical="center" wrapText="1"/>
    </xf>
    <xf numFmtId="9" fontId="4" fillId="6" borderId="4" xfId="7" applyFont="1" applyFill="1" applyBorder="1" applyAlignment="1">
      <alignment horizontal="center" vertical="center" wrapText="1"/>
    </xf>
    <xf numFmtId="3" fontId="5" fillId="6" borderId="2" xfId="0" applyNumberFormat="1" applyFont="1" applyFill="1" applyBorder="1" applyAlignment="1">
      <alignment horizontal="center" vertical="center" wrapText="1"/>
    </xf>
    <xf numFmtId="3" fontId="5" fillId="6" borderId="3" xfId="0" applyNumberFormat="1" applyFont="1" applyFill="1" applyBorder="1" applyAlignment="1">
      <alignment horizontal="center" vertical="center" wrapText="1"/>
    </xf>
    <xf numFmtId="3" fontId="5" fillId="6" borderId="4"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9" fontId="4" fillId="6" borderId="1" xfId="7" applyFont="1" applyFill="1" applyBorder="1" applyAlignment="1">
      <alignment horizontal="center" vertical="center" wrapText="1"/>
    </xf>
    <xf numFmtId="0" fontId="4" fillId="6" borderId="1" xfId="0" applyFont="1" applyFill="1" applyBorder="1" applyAlignment="1">
      <alignment horizontal="center" wrapText="1"/>
    </xf>
    <xf numFmtId="0" fontId="13" fillId="6" borderId="1" xfId="0" applyNumberFormat="1" applyFont="1" applyFill="1" applyBorder="1" applyAlignment="1">
      <alignment horizontal="center" vertical="center" wrapText="1"/>
    </xf>
    <xf numFmtId="0" fontId="13" fillId="6" borderId="14" xfId="0" applyNumberFormat="1"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20" xfId="0" applyFont="1" applyFill="1" applyBorder="1" applyAlignment="1">
      <alignment horizontal="center" wrapText="1"/>
    </xf>
    <xf numFmtId="0" fontId="22" fillId="6" borderId="28" xfId="0" applyFont="1" applyFill="1" applyBorder="1" applyAlignment="1"/>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4" fontId="21" fillId="6" borderId="2" xfId="0" applyNumberFormat="1" applyFont="1" applyFill="1" applyBorder="1" applyAlignment="1">
      <alignment horizontal="left" vertical="top"/>
    </xf>
    <xf numFmtId="4" fontId="21" fillId="6" borderId="3" xfId="0" applyNumberFormat="1" applyFont="1" applyFill="1" applyBorder="1" applyAlignment="1">
      <alignment horizontal="left" vertical="top"/>
    </xf>
    <xf numFmtId="4" fontId="21" fillId="6" borderId="4" xfId="0" applyNumberFormat="1" applyFont="1" applyFill="1" applyBorder="1" applyAlignment="1">
      <alignment horizontal="left" vertical="top"/>
    </xf>
    <xf numFmtId="9" fontId="5" fillId="6" borderId="2" xfId="7" applyFont="1" applyFill="1" applyBorder="1" applyAlignment="1">
      <alignment horizontal="center" vertical="center" wrapText="1"/>
    </xf>
    <xf numFmtId="9" fontId="5" fillId="6" borderId="4" xfId="7" applyFont="1" applyFill="1" applyBorder="1" applyAlignment="1">
      <alignment horizontal="center" vertical="center" wrapText="1"/>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4" fillId="6" borderId="4" xfId="0" applyFont="1" applyFill="1" applyBorder="1" applyAlignment="1">
      <alignment horizontal="center" vertical="top"/>
    </xf>
    <xf numFmtId="0" fontId="4" fillId="6" borderId="2" xfId="0" applyFont="1" applyFill="1" applyBorder="1" applyAlignment="1">
      <alignment horizontal="left"/>
    </xf>
    <xf numFmtId="0" fontId="22" fillId="6" borderId="3" xfId="0" applyFont="1" applyFill="1" applyBorder="1" applyAlignment="1">
      <alignment horizontal="left"/>
    </xf>
    <xf numFmtId="0" fontId="22" fillId="6" borderId="4" xfId="0" applyFont="1" applyFill="1" applyBorder="1" applyAlignment="1">
      <alignment horizontal="left"/>
    </xf>
    <xf numFmtId="166" fontId="4" fillId="6" borderId="2" xfId="0" applyNumberFormat="1" applyFont="1" applyFill="1" applyBorder="1" applyAlignment="1">
      <alignment horizontal="left" vertical="top"/>
    </xf>
    <xf numFmtId="0" fontId="4" fillId="6" borderId="3" xfId="0" applyFont="1" applyFill="1" applyBorder="1" applyAlignment="1">
      <alignment horizontal="left" vertical="top"/>
    </xf>
    <xf numFmtId="0" fontId="4" fillId="6" borderId="4" xfId="0" applyFont="1" applyFill="1" applyBorder="1" applyAlignment="1">
      <alignment horizontal="left" vertical="top"/>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3" fontId="22" fillId="6" borderId="2" xfId="1" applyNumberFormat="1" applyFont="1" applyFill="1" applyBorder="1" applyAlignment="1">
      <alignment horizontal="center" vertical="center" wrapText="1"/>
    </xf>
    <xf numFmtId="3" fontId="22" fillId="6" borderId="3" xfId="1" applyNumberFormat="1"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Fill="1" applyBorder="1" applyAlignment="1">
      <alignment horizontal="center"/>
    </xf>
    <xf numFmtId="43" fontId="21" fillId="3" borderId="2" xfId="1" applyFont="1" applyFill="1" applyBorder="1" applyAlignment="1">
      <alignment horizontal="left" vertical="top"/>
    </xf>
    <xf numFmtId="43" fontId="21" fillId="3" borderId="3" xfId="1" applyFont="1" applyFill="1" applyBorder="1" applyAlignment="1">
      <alignment horizontal="left" vertical="top"/>
    </xf>
    <xf numFmtId="43" fontId="21" fillId="3" borderId="4" xfId="1" applyFont="1" applyFill="1" applyBorder="1" applyAlignment="1">
      <alignment horizontal="left" vertical="top"/>
    </xf>
    <xf numFmtId="43" fontId="4" fillId="3" borderId="2" xfId="1" applyFont="1" applyFill="1" applyBorder="1" applyAlignment="1">
      <alignment horizontal="right" vertical="top"/>
    </xf>
    <xf numFmtId="43" fontId="4" fillId="3" borderId="3" xfId="1" applyFont="1" applyFill="1" applyBorder="1" applyAlignment="1">
      <alignment horizontal="right" vertical="top"/>
    </xf>
    <xf numFmtId="43" fontId="4" fillId="3" borderId="4" xfId="1" applyFont="1" applyFill="1" applyBorder="1" applyAlignment="1">
      <alignment horizontal="right" vertical="top"/>
    </xf>
    <xf numFmtId="43" fontId="4" fillId="3" borderId="2" xfId="1" applyFont="1" applyFill="1" applyBorder="1" applyAlignment="1">
      <alignment horizontal="left" vertical="top"/>
    </xf>
    <xf numFmtId="43" fontId="4" fillId="3" borderId="3" xfId="1" applyFont="1" applyFill="1" applyBorder="1" applyAlignment="1">
      <alignment horizontal="left" vertical="top"/>
    </xf>
    <xf numFmtId="43" fontId="4" fillId="3" borderId="4" xfId="1" applyFont="1" applyFill="1" applyBorder="1" applyAlignment="1">
      <alignment horizontal="left" vertical="top"/>
    </xf>
    <xf numFmtId="0" fontId="4" fillId="5" borderId="2" xfId="0" applyFont="1" applyFill="1" applyBorder="1" applyAlignment="1">
      <alignment horizontal="center" vertical="top"/>
    </xf>
    <xf numFmtId="0" fontId="4" fillId="5" borderId="3" xfId="0" applyFont="1" applyFill="1" applyBorder="1" applyAlignment="1">
      <alignment horizontal="center" vertical="top"/>
    </xf>
    <xf numFmtId="0" fontId="4" fillId="5" borderId="4" xfId="0" applyFont="1" applyFill="1" applyBorder="1" applyAlignment="1">
      <alignment horizontal="center" vertical="top"/>
    </xf>
    <xf numFmtId="43" fontId="22" fillId="0" borderId="2" xfId="1" applyFont="1" applyBorder="1" applyAlignment="1">
      <alignment horizontal="center" vertical="center" wrapText="1"/>
    </xf>
    <xf numFmtId="43" fontId="22" fillId="0" borderId="3" xfId="1" applyFont="1" applyBorder="1" applyAlignment="1">
      <alignment horizontal="center"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43" fontId="22" fillId="0" borderId="5" xfId="1" applyFont="1" applyBorder="1" applyAlignment="1">
      <alignment horizontal="center" vertical="center" wrapText="1"/>
    </xf>
  </cellXfs>
  <cellStyles count="8">
    <cellStyle name="Comma" xfId="1" builtinId="3"/>
    <cellStyle name="Comma 2" xfId="2"/>
    <cellStyle name="Comma 3" xfId="3"/>
    <cellStyle name="Comma 4" xfId="4"/>
    <cellStyle name="Comma 6" xfId="5"/>
    <cellStyle name="Normal" xfId="0" builtinId="0"/>
    <cellStyle name="Normal_Sheet1" xfId="6"/>
    <cellStyle name="Percent" xfId="7"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3:BD69"/>
  <sheetViews>
    <sheetView zoomScale="75" zoomScaleNormal="75" zoomScaleSheetLayoutView="53" workbookViewId="0">
      <selection activeCell="C77" sqref="C77"/>
    </sheetView>
  </sheetViews>
  <sheetFormatPr defaultRowHeight="12.75"/>
  <cols>
    <col min="1" max="1" width="32.5703125" style="45" customWidth="1"/>
    <col min="2" max="2" width="16.7109375" style="23" hidden="1" customWidth="1"/>
    <col min="3" max="3" width="18.85546875" style="23" customWidth="1"/>
    <col min="4" max="4" width="47.85546875" style="23" customWidth="1"/>
    <col min="5" max="5" width="14.85546875" style="23" customWidth="1"/>
    <col min="6" max="6" width="10.7109375" style="18" customWidth="1"/>
    <col min="7" max="7" width="16.5703125" style="18" customWidth="1"/>
    <col min="8" max="8" width="17.85546875" style="18" customWidth="1"/>
    <col min="9" max="9" width="15.5703125" style="18" customWidth="1"/>
    <col min="10" max="10" width="22.140625" style="18" customWidth="1"/>
    <col min="11" max="11" width="30" style="40" customWidth="1"/>
    <col min="12" max="14" width="20.7109375" style="19" hidden="1" customWidth="1"/>
    <col min="15" max="16" width="20.7109375" style="20" hidden="1" customWidth="1"/>
    <col min="17" max="17" width="20.7109375" style="21" hidden="1" customWidth="1"/>
    <col min="18" max="22" width="20.7109375" style="19" hidden="1" customWidth="1"/>
    <col min="23" max="23" width="20.7109375" style="22" hidden="1" customWidth="1"/>
    <col min="24" max="24" width="15.7109375" style="22" hidden="1" customWidth="1"/>
    <col min="25" max="29" width="20.7109375" style="19" hidden="1" customWidth="1"/>
    <col min="30" max="30" width="20.7109375" style="22" hidden="1" customWidth="1"/>
    <col min="31" max="35" width="20.7109375" style="19" hidden="1" customWidth="1"/>
    <col min="36" max="42" width="20.7109375" style="22" hidden="1" customWidth="1"/>
    <col min="43" max="47" width="20.7109375" style="19" hidden="1" customWidth="1"/>
    <col min="48" max="48" width="20.7109375" style="22" hidden="1" customWidth="1"/>
    <col min="49" max="53" width="20.7109375" style="19" hidden="1" customWidth="1"/>
    <col min="54" max="54" width="20.7109375" style="22" hidden="1" customWidth="1"/>
    <col min="55" max="55" width="10.5703125" style="19" bestFit="1" customWidth="1"/>
    <col min="56" max="56" width="9.5703125" style="23" bestFit="1" customWidth="1"/>
    <col min="57" max="57" width="10.5703125" style="23" bestFit="1" customWidth="1"/>
    <col min="58" max="16384" width="9.140625" style="23"/>
  </cols>
  <sheetData>
    <row r="3" spans="1:56" s="25" customFormat="1" ht="44.25" customHeight="1">
      <c r="A3" s="1001" t="s">
        <v>29</v>
      </c>
      <c r="B3" s="34"/>
      <c r="C3" s="1004" t="s">
        <v>0</v>
      </c>
      <c r="D3" s="1014" t="s">
        <v>44</v>
      </c>
      <c r="E3" s="1020" t="s">
        <v>5</v>
      </c>
      <c r="F3" s="1021"/>
      <c r="G3" s="1014" t="s">
        <v>22</v>
      </c>
      <c r="H3" s="1014" t="s">
        <v>31</v>
      </c>
      <c r="I3" s="1014" t="s">
        <v>32</v>
      </c>
      <c r="J3" s="1014" t="s">
        <v>30</v>
      </c>
      <c r="K3" s="1014" t="s">
        <v>46</v>
      </c>
      <c r="L3" s="1007" t="s">
        <v>28</v>
      </c>
      <c r="M3" s="996"/>
      <c r="N3" s="996"/>
      <c r="O3" s="996"/>
      <c r="P3" s="996"/>
      <c r="Q3" s="996"/>
      <c r="R3" s="996"/>
      <c r="S3" s="996"/>
      <c r="T3" s="996"/>
      <c r="U3" s="996"/>
      <c r="V3" s="996"/>
      <c r="W3" s="996"/>
      <c r="X3" s="996"/>
      <c r="Y3" s="996"/>
      <c r="Z3" s="996"/>
      <c r="AA3" s="996"/>
      <c r="AB3" s="996"/>
      <c r="AC3" s="996"/>
      <c r="AD3" s="996"/>
      <c r="AE3" s="996"/>
      <c r="AF3" s="996"/>
      <c r="AG3" s="996"/>
      <c r="AH3" s="996"/>
      <c r="AI3" s="996"/>
      <c r="AJ3" s="996"/>
      <c r="AK3" s="996"/>
      <c r="AL3" s="996"/>
      <c r="AM3" s="996"/>
      <c r="AN3" s="996"/>
      <c r="AO3" s="996"/>
      <c r="AP3" s="996"/>
      <c r="AQ3" s="996"/>
      <c r="AR3" s="996"/>
      <c r="AS3" s="996"/>
      <c r="AT3" s="996"/>
      <c r="AU3" s="996"/>
      <c r="AV3" s="996"/>
      <c r="AW3" s="996"/>
      <c r="AX3" s="996"/>
      <c r="AY3" s="996"/>
      <c r="AZ3" s="996"/>
      <c r="BA3" s="996"/>
      <c r="BB3" s="996"/>
      <c r="BC3" s="24"/>
    </row>
    <row r="4" spans="1:56" s="25" customFormat="1" ht="45" customHeight="1">
      <c r="A4" s="1002"/>
      <c r="B4" s="35"/>
      <c r="C4" s="1005"/>
      <c r="D4" s="1005"/>
      <c r="E4" s="1008" t="s">
        <v>52</v>
      </c>
      <c r="F4" s="1008" t="s">
        <v>6</v>
      </c>
      <c r="G4" s="1015"/>
      <c r="H4" s="1015"/>
      <c r="I4" s="1015"/>
      <c r="J4" s="1015"/>
      <c r="K4" s="1015"/>
      <c r="L4" s="998" t="s">
        <v>10</v>
      </c>
      <c r="M4" s="998"/>
      <c r="N4" s="998"/>
      <c r="O4" s="998"/>
      <c r="P4" s="998"/>
      <c r="Q4" s="998"/>
      <c r="R4" s="998" t="s">
        <v>11</v>
      </c>
      <c r="S4" s="1017"/>
      <c r="T4" s="1017"/>
      <c r="U4" s="1017"/>
      <c r="V4" s="1017"/>
      <c r="W4" s="1017"/>
      <c r="X4" s="10"/>
      <c r="Y4" s="998" t="s">
        <v>12</v>
      </c>
      <c r="Z4" s="1017"/>
      <c r="AA4" s="1017"/>
      <c r="AB4" s="1017"/>
      <c r="AC4" s="1017"/>
      <c r="AD4" s="1017"/>
      <c r="AE4" s="998" t="s">
        <v>13</v>
      </c>
      <c r="AF4" s="1017"/>
      <c r="AG4" s="1017"/>
      <c r="AH4" s="1017"/>
      <c r="AI4" s="1017"/>
      <c r="AJ4" s="1017"/>
      <c r="AK4" s="995" t="s">
        <v>14</v>
      </c>
      <c r="AL4" s="996"/>
      <c r="AM4" s="996"/>
      <c r="AN4" s="996"/>
      <c r="AO4" s="996"/>
      <c r="AP4" s="997"/>
      <c r="AQ4" s="998" t="s">
        <v>15</v>
      </c>
      <c r="AR4" s="1017"/>
      <c r="AS4" s="1017"/>
      <c r="AT4" s="1017"/>
      <c r="AU4" s="1017"/>
      <c r="AV4" s="1017"/>
      <c r="AW4" s="995" t="s">
        <v>18</v>
      </c>
      <c r="AX4" s="1018"/>
      <c r="AY4" s="1018"/>
      <c r="AZ4" s="1018"/>
      <c r="BA4" s="1018"/>
      <c r="BB4" s="1019"/>
    </row>
    <row r="5" spans="1:56" s="25" customFormat="1" ht="21.75" customHeight="1">
      <c r="A5" s="1003"/>
      <c r="B5" s="36"/>
      <c r="C5" s="1006"/>
      <c r="D5" s="1006"/>
      <c r="E5" s="1009"/>
      <c r="F5" s="1009"/>
      <c r="G5" s="1016"/>
      <c r="H5" s="1016"/>
      <c r="I5" s="1016"/>
      <c r="J5" s="1016"/>
      <c r="K5" s="1016"/>
      <c r="L5" s="38" t="s">
        <v>1</v>
      </c>
      <c r="M5" s="38" t="s">
        <v>9</v>
      </c>
      <c r="N5" s="38" t="s">
        <v>3</v>
      </c>
      <c r="O5" s="11" t="s">
        <v>17</v>
      </c>
      <c r="P5" s="11" t="s">
        <v>19</v>
      </c>
      <c r="Q5" s="11" t="s">
        <v>4</v>
      </c>
      <c r="R5" s="38" t="s">
        <v>1</v>
      </c>
      <c r="S5" s="38" t="s">
        <v>2</v>
      </c>
      <c r="T5" s="38" t="s">
        <v>3</v>
      </c>
      <c r="U5" s="38" t="s">
        <v>17</v>
      </c>
      <c r="V5" s="38" t="s">
        <v>19</v>
      </c>
      <c r="W5" s="38" t="s">
        <v>4</v>
      </c>
      <c r="X5" s="12" t="s">
        <v>8</v>
      </c>
      <c r="Y5" s="38" t="s">
        <v>1</v>
      </c>
      <c r="Z5" s="38" t="s">
        <v>9</v>
      </c>
      <c r="AA5" s="38" t="s">
        <v>3</v>
      </c>
      <c r="AB5" s="11" t="s">
        <v>17</v>
      </c>
      <c r="AC5" s="11" t="s">
        <v>19</v>
      </c>
      <c r="AD5" s="11" t="s">
        <v>4</v>
      </c>
      <c r="AE5" s="38" t="s">
        <v>1</v>
      </c>
      <c r="AF5" s="38" t="s">
        <v>2</v>
      </c>
      <c r="AG5" s="38" t="s">
        <v>3</v>
      </c>
      <c r="AH5" s="38" t="s">
        <v>17</v>
      </c>
      <c r="AI5" s="38" t="s">
        <v>19</v>
      </c>
      <c r="AJ5" s="38" t="s">
        <v>4</v>
      </c>
      <c r="AK5" s="38" t="s">
        <v>1</v>
      </c>
      <c r="AL5" s="38" t="s">
        <v>9</v>
      </c>
      <c r="AM5" s="38" t="s">
        <v>3</v>
      </c>
      <c r="AN5" s="11" t="s">
        <v>17</v>
      </c>
      <c r="AO5" s="11" t="s">
        <v>19</v>
      </c>
      <c r="AP5" s="11" t="s">
        <v>4</v>
      </c>
      <c r="AQ5" s="38" t="s">
        <v>1</v>
      </c>
      <c r="AR5" s="38" t="s">
        <v>9</v>
      </c>
      <c r="AS5" s="38" t="s">
        <v>3</v>
      </c>
      <c r="AT5" s="11" t="s">
        <v>17</v>
      </c>
      <c r="AU5" s="11" t="s">
        <v>19</v>
      </c>
      <c r="AV5" s="11" t="s">
        <v>4</v>
      </c>
      <c r="AW5" s="38" t="s">
        <v>1</v>
      </c>
      <c r="AX5" s="38" t="s">
        <v>2</v>
      </c>
      <c r="AY5" s="38" t="s">
        <v>3</v>
      </c>
      <c r="AZ5" s="38" t="s">
        <v>17</v>
      </c>
      <c r="BA5" s="38" t="s">
        <v>19</v>
      </c>
      <c r="BB5" s="38" t="s">
        <v>18</v>
      </c>
      <c r="BD5" s="24"/>
    </row>
    <row r="6" spans="1:56" s="25" customFormat="1" ht="22.5" customHeight="1">
      <c r="A6" s="183" t="s">
        <v>33</v>
      </c>
      <c r="B6" s="36"/>
      <c r="C6" s="39" t="s">
        <v>34</v>
      </c>
      <c r="D6" s="39" t="s">
        <v>45</v>
      </c>
      <c r="E6" s="37" t="s">
        <v>35</v>
      </c>
      <c r="F6" s="36" t="s">
        <v>36</v>
      </c>
      <c r="G6" s="36" t="s">
        <v>37</v>
      </c>
      <c r="H6" s="36" t="s">
        <v>38</v>
      </c>
      <c r="I6" s="36" t="s">
        <v>39</v>
      </c>
      <c r="J6" s="36" t="s">
        <v>40</v>
      </c>
      <c r="K6" s="36" t="s">
        <v>41</v>
      </c>
      <c r="L6" s="38"/>
      <c r="M6" s="38"/>
      <c r="N6" s="38"/>
      <c r="O6" s="11"/>
      <c r="P6" s="11"/>
      <c r="Q6" s="11"/>
      <c r="R6" s="38"/>
      <c r="S6" s="38"/>
      <c r="T6" s="38"/>
      <c r="U6" s="38"/>
      <c r="V6" s="38"/>
      <c r="W6" s="38"/>
      <c r="X6" s="12"/>
      <c r="Y6" s="38"/>
      <c r="Z6" s="38"/>
      <c r="AA6" s="38"/>
      <c r="AB6" s="11"/>
      <c r="AC6" s="11"/>
      <c r="AD6" s="11"/>
      <c r="AE6" s="38"/>
      <c r="AF6" s="38"/>
      <c r="AG6" s="38"/>
      <c r="AH6" s="38"/>
      <c r="AI6" s="38"/>
      <c r="AJ6" s="38"/>
      <c r="AK6" s="38"/>
      <c r="AL6" s="38"/>
      <c r="AM6" s="38"/>
      <c r="AN6" s="11"/>
      <c r="AO6" s="11"/>
      <c r="AP6" s="11"/>
      <c r="AQ6" s="38"/>
      <c r="AR6" s="38"/>
      <c r="AS6" s="38"/>
      <c r="AT6" s="11"/>
      <c r="AU6" s="11"/>
      <c r="AV6" s="11"/>
      <c r="AW6" s="38"/>
      <c r="AX6" s="38"/>
      <c r="AY6" s="38"/>
      <c r="AZ6" s="38"/>
      <c r="BA6" s="38"/>
      <c r="BB6" s="38"/>
      <c r="BD6" s="24"/>
    </row>
    <row r="7" spans="1:56" s="25" customFormat="1" ht="43.5" customHeight="1">
      <c r="A7" s="182" t="s">
        <v>397</v>
      </c>
      <c r="B7" s="179"/>
      <c r="C7" s="81"/>
      <c r="D7" s="81"/>
      <c r="E7" s="180"/>
      <c r="F7" s="181"/>
      <c r="G7" s="80"/>
      <c r="H7" s="80"/>
      <c r="I7" s="80"/>
      <c r="J7" s="80"/>
      <c r="K7" s="80"/>
      <c r="L7" s="79"/>
      <c r="M7" s="79"/>
      <c r="N7" s="79"/>
      <c r="O7" s="11"/>
      <c r="P7" s="11"/>
      <c r="Q7" s="11"/>
      <c r="R7" s="79"/>
      <c r="S7" s="79"/>
      <c r="T7" s="79"/>
      <c r="U7" s="79"/>
      <c r="V7" s="79"/>
      <c r="W7" s="79"/>
      <c r="X7" s="12"/>
      <c r="Y7" s="79"/>
      <c r="Z7" s="79"/>
      <c r="AA7" s="79"/>
      <c r="AB7" s="11"/>
      <c r="AC7" s="11"/>
      <c r="AD7" s="11"/>
      <c r="AE7" s="79"/>
      <c r="AF7" s="79"/>
      <c r="AG7" s="79"/>
      <c r="AH7" s="79"/>
      <c r="AI7" s="79"/>
      <c r="AJ7" s="79"/>
      <c r="AK7" s="79"/>
      <c r="AL7" s="79"/>
      <c r="AM7" s="79"/>
      <c r="AN7" s="11"/>
      <c r="AO7" s="11"/>
      <c r="AP7" s="11"/>
      <c r="AQ7" s="79"/>
      <c r="AR7" s="79"/>
      <c r="AS7" s="79"/>
      <c r="AT7" s="11"/>
      <c r="AU7" s="11"/>
      <c r="AV7" s="11"/>
      <c r="AW7" s="79"/>
      <c r="AX7" s="79"/>
      <c r="AY7" s="79"/>
      <c r="AZ7" s="79"/>
      <c r="BA7" s="79"/>
      <c r="BB7" s="79"/>
      <c r="BD7" s="24"/>
    </row>
    <row r="8" spans="1:56" s="25" customFormat="1" ht="43.5" customHeight="1">
      <c r="A8" s="103" t="s">
        <v>398</v>
      </c>
      <c r="B8" s="179"/>
      <c r="C8" s="81"/>
      <c r="D8" s="81"/>
      <c r="E8" s="180"/>
      <c r="F8" s="181"/>
      <c r="G8" s="80"/>
      <c r="H8" s="80"/>
      <c r="I8" s="80"/>
      <c r="J8" s="80"/>
      <c r="K8" s="80"/>
      <c r="L8" s="79"/>
      <c r="M8" s="79"/>
      <c r="N8" s="79"/>
      <c r="O8" s="11"/>
      <c r="P8" s="11"/>
      <c r="Q8" s="11"/>
      <c r="R8" s="79"/>
      <c r="S8" s="79"/>
      <c r="T8" s="79"/>
      <c r="U8" s="79"/>
      <c r="V8" s="79"/>
      <c r="W8" s="79"/>
      <c r="X8" s="12"/>
      <c r="Y8" s="79"/>
      <c r="Z8" s="79"/>
      <c r="AA8" s="79"/>
      <c r="AB8" s="11"/>
      <c r="AC8" s="11"/>
      <c r="AD8" s="11"/>
      <c r="AE8" s="79"/>
      <c r="AF8" s="79"/>
      <c r="AG8" s="79"/>
      <c r="AH8" s="79"/>
      <c r="AI8" s="79"/>
      <c r="AJ8" s="79"/>
      <c r="AK8" s="79"/>
      <c r="AL8" s="79"/>
      <c r="AM8" s="79"/>
      <c r="AN8" s="11"/>
      <c r="AO8" s="11"/>
      <c r="AP8" s="11"/>
      <c r="AQ8" s="79"/>
      <c r="AR8" s="79"/>
      <c r="AS8" s="79"/>
      <c r="AT8" s="11"/>
      <c r="AU8" s="11"/>
      <c r="AV8" s="11"/>
      <c r="AW8" s="79"/>
      <c r="AX8" s="79"/>
      <c r="AY8" s="79"/>
      <c r="AZ8" s="79"/>
      <c r="BA8" s="79"/>
      <c r="BB8" s="79"/>
      <c r="BD8" s="24"/>
    </row>
    <row r="9" spans="1:56" s="25" customFormat="1" ht="10.5" customHeight="1">
      <c r="A9" s="178"/>
      <c r="B9" s="179"/>
      <c r="C9" s="81"/>
      <c r="D9" s="81"/>
      <c r="E9" s="180"/>
      <c r="F9" s="181"/>
      <c r="G9" s="80"/>
      <c r="H9" s="80"/>
      <c r="I9" s="80"/>
      <c r="J9" s="80"/>
      <c r="K9" s="80"/>
      <c r="L9" s="79"/>
      <c r="M9" s="79"/>
      <c r="N9" s="79"/>
      <c r="O9" s="11"/>
      <c r="P9" s="11"/>
      <c r="Q9" s="11"/>
      <c r="R9" s="79"/>
      <c r="S9" s="79"/>
      <c r="T9" s="79"/>
      <c r="U9" s="79"/>
      <c r="V9" s="79"/>
      <c r="W9" s="79"/>
      <c r="X9" s="12"/>
      <c r="Y9" s="79"/>
      <c r="Z9" s="79"/>
      <c r="AA9" s="79"/>
      <c r="AB9" s="11"/>
      <c r="AC9" s="11"/>
      <c r="AD9" s="11"/>
      <c r="AE9" s="79"/>
      <c r="AF9" s="79"/>
      <c r="AG9" s="79"/>
      <c r="AH9" s="79"/>
      <c r="AI9" s="79"/>
      <c r="AJ9" s="79"/>
      <c r="AK9" s="79"/>
      <c r="AL9" s="79"/>
      <c r="AM9" s="79"/>
      <c r="AN9" s="11"/>
      <c r="AO9" s="11"/>
      <c r="AP9" s="11"/>
      <c r="AQ9" s="79"/>
      <c r="AR9" s="79"/>
      <c r="AS9" s="79"/>
      <c r="AT9" s="11"/>
      <c r="AU9" s="11"/>
      <c r="AV9" s="11"/>
      <c r="AW9" s="79"/>
      <c r="AX9" s="79"/>
      <c r="AY9" s="79"/>
      <c r="AZ9" s="79"/>
      <c r="BA9" s="79"/>
      <c r="BB9" s="79"/>
      <c r="BD9" s="24"/>
    </row>
    <row r="10" spans="1:56" s="25" customFormat="1" ht="48.75" customHeight="1">
      <c r="A10" s="62" t="s">
        <v>53</v>
      </c>
      <c r="B10" s="47"/>
      <c r="C10" s="999" t="s">
        <v>54</v>
      </c>
      <c r="D10" s="1022" t="s">
        <v>48</v>
      </c>
      <c r="E10" s="1010" t="s">
        <v>47</v>
      </c>
      <c r="F10" s="1011"/>
      <c r="G10" s="1024" t="s">
        <v>309</v>
      </c>
      <c r="H10" s="1024" t="s">
        <v>49</v>
      </c>
      <c r="I10" s="1024" t="s">
        <v>692</v>
      </c>
      <c r="J10" s="1024" t="s">
        <v>50</v>
      </c>
      <c r="K10" s="1022" t="s">
        <v>51</v>
      </c>
      <c r="L10" s="3"/>
      <c r="M10" s="3"/>
      <c r="N10" s="3"/>
      <c r="O10" s="3"/>
      <c r="P10" s="3"/>
      <c r="Q10" s="5" t="s">
        <v>7</v>
      </c>
      <c r="R10" s="3"/>
      <c r="S10" s="3"/>
      <c r="T10" s="3"/>
      <c r="U10" s="3"/>
      <c r="V10" s="3"/>
      <c r="W10" s="5"/>
      <c r="X10" s="5"/>
      <c r="Y10" s="1"/>
      <c r="Z10" s="1"/>
      <c r="AA10" s="1"/>
      <c r="AB10" s="1"/>
      <c r="AC10" s="1"/>
      <c r="AD10" s="2"/>
      <c r="AE10" s="1"/>
      <c r="AF10" s="1"/>
      <c r="AG10" s="1"/>
      <c r="AH10" s="1"/>
      <c r="AI10" s="1"/>
      <c r="AJ10" s="2"/>
      <c r="AK10" s="2"/>
      <c r="AL10" s="2"/>
      <c r="AM10" s="2"/>
      <c r="AN10" s="2"/>
      <c r="AO10" s="2"/>
      <c r="AP10" s="2"/>
      <c r="AQ10" s="1"/>
      <c r="AR10" s="1"/>
      <c r="AS10" s="1"/>
      <c r="AT10" s="1"/>
      <c r="AU10" s="1"/>
      <c r="AV10" s="2"/>
      <c r="AW10" s="1"/>
      <c r="AX10" s="1"/>
      <c r="AY10" s="1"/>
      <c r="AZ10" s="1"/>
      <c r="BA10" s="1"/>
      <c r="BB10" s="2"/>
    </row>
    <row r="11" spans="1:56" ht="94.5" customHeight="1">
      <c r="A11" s="49"/>
      <c r="B11" s="6"/>
      <c r="C11" s="1000"/>
      <c r="D11" s="1023"/>
      <c r="E11" s="1012"/>
      <c r="F11" s="1013"/>
      <c r="G11" s="1025"/>
      <c r="H11" s="1025"/>
      <c r="I11" s="1025"/>
      <c r="J11" s="1025"/>
      <c r="K11" s="1023"/>
      <c r="L11" s="3"/>
      <c r="M11" s="3"/>
      <c r="N11" s="3"/>
      <c r="O11" s="3"/>
      <c r="P11" s="3"/>
      <c r="Q11" s="3" t="s">
        <v>7</v>
      </c>
      <c r="R11" s="3"/>
      <c r="S11" s="3"/>
      <c r="T11" s="3"/>
      <c r="U11" s="3"/>
      <c r="V11" s="3"/>
      <c r="W11" s="3"/>
      <c r="X11" s="3"/>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6" ht="182.25" customHeight="1">
      <c r="B12" s="47"/>
      <c r="C12" s="1000"/>
      <c r="D12" s="1023"/>
      <c r="E12" s="1012"/>
      <c r="F12" s="1013"/>
      <c r="G12" s="1025"/>
      <c r="H12" s="1025"/>
      <c r="I12" s="1025"/>
      <c r="J12" s="1025"/>
      <c r="K12" s="1023"/>
      <c r="L12" s="3"/>
      <c r="M12" s="3"/>
      <c r="N12" s="3"/>
      <c r="O12" s="3"/>
      <c r="P12" s="3"/>
      <c r="Q12" s="3" t="s">
        <v>7</v>
      </c>
      <c r="R12" s="3"/>
      <c r="S12" s="3"/>
      <c r="T12" s="3"/>
      <c r="U12" s="3"/>
      <c r="V12" s="3"/>
      <c r="W12" s="3"/>
      <c r="X12" s="3"/>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6" ht="60.75" customHeight="1">
      <c r="B13" s="47"/>
      <c r="C13" s="1000"/>
      <c r="D13" s="1023"/>
      <c r="E13" s="1012"/>
      <c r="F13" s="1013"/>
      <c r="G13" s="1025"/>
      <c r="H13" s="1025"/>
      <c r="I13" s="1025"/>
      <c r="J13" s="1025"/>
      <c r="K13" s="1023"/>
      <c r="L13" s="3"/>
      <c r="M13" s="3"/>
      <c r="N13" s="3"/>
      <c r="O13" s="3"/>
      <c r="P13" s="3"/>
      <c r="Q13" s="3" t="s">
        <v>7</v>
      </c>
      <c r="R13" s="3"/>
      <c r="S13" s="3"/>
      <c r="T13" s="3"/>
      <c r="U13" s="3"/>
      <c r="V13" s="3"/>
      <c r="W13" s="3"/>
      <c r="X13" s="3"/>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6" ht="108" customHeight="1">
      <c r="B14" s="47"/>
      <c r="C14" s="1000"/>
      <c r="D14" s="1023"/>
      <c r="E14" s="1012"/>
      <c r="F14" s="1013"/>
      <c r="G14" s="1025"/>
      <c r="H14" s="1025"/>
      <c r="I14" s="1025"/>
      <c r="J14" s="1025"/>
      <c r="K14" s="1023"/>
      <c r="L14" s="3"/>
      <c r="M14" s="3"/>
      <c r="N14" s="3"/>
      <c r="O14" s="3"/>
      <c r="P14" s="3"/>
      <c r="Q14" s="3" t="s">
        <v>7</v>
      </c>
      <c r="R14" s="3"/>
      <c r="S14" s="3"/>
      <c r="T14" s="3"/>
      <c r="U14" s="3"/>
      <c r="V14" s="3"/>
      <c r="W14" s="3"/>
      <c r="X14" s="3"/>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6" ht="45.75" hidden="1" customHeight="1">
      <c r="A15" s="48"/>
      <c r="B15" s="6"/>
      <c r="C15" s="1000"/>
      <c r="D15" s="1023"/>
      <c r="E15" s="1012"/>
      <c r="F15" s="1013"/>
      <c r="G15" s="1026"/>
      <c r="H15" s="1026"/>
      <c r="I15" s="1026"/>
      <c r="J15" s="1026"/>
      <c r="K15" s="1027"/>
      <c r="L15" s="3"/>
      <c r="M15" s="3"/>
      <c r="N15" s="3"/>
      <c r="O15" s="3"/>
      <c r="P15" s="3"/>
      <c r="Q15" s="3" t="s">
        <v>7</v>
      </c>
      <c r="R15" s="3"/>
      <c r="S15" s="3"/>
      <c r="T15" s="3"/>
      <c r="U15" s="3"/>
      <c r="V15" s="3"/>
      <c r="W15" s="3"/>
      <c r="X15" s="3"/>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56" ht="16.5" hidden="1" customHeight="1">
      <c r="A16" s="44" t="s">
        <v>25</v>
      </c>
      <c r="B16" s="4"/>
      <c r="C16" s="41"/>
      <c r="D16" s="46"/>
      <c r="E16" s="42"/>
      <c r="F16" s="43"/>
      <c r="G16" s="4"/>
      <c r="H16" s="4"/>
      <c r="I16" s="4"/>
      <c r="J16" s="4"/>
      <c r="K16" s="13"/>
      <c r="L16" s="3"/>
      <c r="M16" s="3"/>
      <c r="N16" s="3"/>
      <c r="O16" s="7"/>
      <c r="P16" s="7"/>
      <c r="Q16" s="7"/>
      <c r="R16" s="7"/>
      <c r="S16" s="7"/>
      <c r="T16" s="7"/>
      <c r="U16" s="7"/>
      <c r="V16" s="7"/>
      <c r="W16" s="7"/>
      <c r="X16" s="7">
        <f>SUM(W16,Q16)</f>
        <v>0</v>
      </c>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row>
    <row r="17" spans="1:54" ht="15" hidden="1" customHeight="1">
      <c r="A17" s="44" t="s">
        <v>26</v>
      </c>
      <c r="B17" s="4"/>
      <c r="C17" s="41"/>
      <c r="D17" s="46"/>
      <c r="E17" s="42"/>
      <c r="F17" s="43"/>
      <c r="G17" s="4"/>
      <c r="H17" s="4"/>
      <c r="I17" s="4"/>
      <c r="J17" s="4"/>
      <c r="K17" s="4"/>
      <c r="L17" s="3"/>
      <c r="M17" s="3"/>
      <c r="N17" s="3"/>
      <c r="O17" s="7"/>
      <c r="P17" s="7"/>
      <c r="Q17" s="7"/>
      <c r="R17" s="7"/>
      <c r="S17" s="7"/>
      <c r="T17" s="7"/>
      <c r="U17" s="7"/>
      <c r="V17" s="7"/>
      <c r="W17" s="7"/>
      <c r="X17" s="7">
        <f>SUM(Q17,W17)</f>
        <v>0</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row>
    <row r="18" spans="1:54" ht="18.75" hidden="1" customHeight="1">
      <c r="A18" s="44" t="s">
        <v>42</v>
      </c>
      <c r="B18" s="4"/>
      <c r="C18" s="41"/>
      <c r="D18" s="46"/>
      <c r="E18" s="42"/>
      <c r="F18" s="43"/>
      <c r="G18" s="4"/>
      <c r="H18" s="4"/>
      <c r="I18" s="4"/>
      <c r="J18" s="4"/>
      <c r="K18" s="4"/>
      <c r="L18" s="3"/>
      <c r="M18" s="3"/>
      <c r="N18" s="3"/>
      <c r="O18" s="7"/>
      <c r="P18" s="7"/>
      <c r="Q18" s="7"/>
      <c r="R18" s="7"/>
      <c r="S18" s="7"/>
      <c r="T18" s="7"/>
      <c r="U18" s="7"/>
      <c r="V18" s="7"/>
      <c r="W18" s="7"/>
      <c r="X18" s="7"/>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row>
    <row r="19" spans="1:54" ht="16.5" hidden="1" customHeight="1">
      <c r="A19" s="44" t="s">
        <v>27</v>
      </c>
      <c r="B19" s="6"/>
      <c r="C19" s="41"/>
      <c r="D19" s="46"/>
      <c r="E19" s="42"/>
      <c r="F19" s="43"/>
      <c r="G19" s="4"/>
      <c r="H19" s="4"/>
      <c r="I19" s="4"/>
      <c r="J19" s="4"/>
      <c r="K19" s="4"/>
      <c r="L19" s="3"/>
      <c r="M19" s="3"/>
      <c r="N19" s="3"/>
      <c r="O19" s="7"/>
      <c r="P19" s="7"/>
      <c r="Q19" s="7"/>
      <c r="R19" s="7"/>
      <c r="S19" s="7"/>
      <c r="T19" s="7"/>
      <c r="U19" s="7"/>
      <c r="V19" s="7"/>
      <c r="W19" s="7"/>
      <c r="X19" s="7"/>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row>
    <row r="20" spans="1:54" ht="15" hidden="1" customHeight="1">
      <c r="A20" s="44" t="s">
        <v>25</v>
      </c>
      <c r="B20" s="4"/>
      <c r="C20" s="41"/>
      <c r="D20" s="46"/>
      <c r="E20" s="42"/>
      <c r="F20" s="43"/>
      <c r="G20" s="4"/>
      <c r="H20" s="4"/>
      <c r="I20" s="4"/>
      <c r="J20" s="4"/>
      <c r="K20" s="4"/>
      <c r="L20" s="3"/>
      <c r="M20" s="3"/>
      <c r="N20" s="3"/>
      <c r="O20" s="7"/>
      <c r="P20" s="7"/>
      <c r="Q20" s="7"/>
      <c r="R20" s="7"/>
      <c r="S20" s="7"/>
      <c r="T20" s="7"/>
      <c r="U20" s="7"/>
      <c r="V20" s="7"/>
      <c r="W20" s="7"/>
      <c r="X20" s="7"/>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row>
    <row r="21" spans="1:54" ht="18.75" hidden="1" customHeight="1">
      <c r="A21" s="44" t="s">
        <v>26</v>
      </c>
      <c r="B21" s="4"/>
      <c r="C21" s="41"/>
      <c r="D21" s="46"/>
      <c r="E21" s="42"/>
      <c r="F21" s="43"/>
      <c r="G21" s="4"/>
      <c r="H21" s="4"/>
      <c r="I21" s="4"/>
      <c r="J21" s="4"/>
      <c r="K21" s="4"/>
      <c r="L21" s="3"/>
      <c r="M21" s="3"/>
      <c r="N21" s="3"/>
      <c r="O21" s="7"/>
      <c r="P21" s="7"/>
      <c r="Q21" s="7"/>
      <c r="R21" s="7"/>
      <c r="S21" s="7"/>
      <c r="T21" s="7"/>
      <c r="U21" s="7"/>
      <c r="V21" s="7"/>
      <c r="W21" s="7"/>
      <c r="X21" s="7"/>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row>
    <row r="22" spans="1:54" ht="15.75" hidden="1" customHeight="1">
      <c r="A22" s="44" t="s">
        <v>24</v>
      </c>
      <c r="B22" s="4"/>
      <c r="C22" s="41"/>
      <c r="D22" s="46"/>
      <c r="E22" s="42"/>
      <c r="F22" s="43"/>
      <c r="G22" s="4"/>
      <c r="H22" s="4"/>
      <c r="I22" s="4"/>
      <c r="J22" s="4"/>
      <c r="K22" s="4"/>
      <c r="L22" s="3"/>
      <c r="M22" s="3"/>
      <c r="N22" s="3"/>
      <c r="O22" s="7"/>
      <c r="P22" s="7"/>
      <c r="Q22" s="7" t="s">
        <v>7</v>
      </c>
      <c r="R22" s="7"/>
      <c r="S22" s="7"/>
      <c r="T22" s="7"/>
      <c r="U22" s="7"/>
      <c r="V22" s="7"/>
      <c r="W22" s="7" t="s">
        <v>7</v>
      </c>
      <c r="X22" s="7" t="s">
        <v>7</v>
      </c>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row>
    <row r="23" spans="1:54" ht="12.75" hidden="1" customHeight="1">
      <c r="A23" s="44" t="s">
        <v>43</v>
      </c>
      <c r="B23" s="14"/>
      <c r="C23" s="41"/>
      <c r="D23" s="46"/>
      <c r="E23" s="42"/>
      <c r="F23" s="43"/>
      <c r="G23" s="4"/>
      <c r="H23" s="4"/>
      <c r="I23" s="4"/>
      <c r="J23" s="4"/>
      <c r="K23" s="4"/>
      <c r="L23" s="7"/>
      <c r="M23" s="7"/>
      <c r="N23" s="7"/>
      <c r="O23" s="7"/>
      <c r="P23" s="7"/>
      <c r="Q23" s="7"/>
      <c r="R23" s="7"/>
      <c r="S23" s="7"/>
      <c r="T23" s="7"/>
      <c r="U23" s="7"/>
      <c r="V23" s="7"/>
      <c r="W23" s="7"/>
      <c r="X23" s="7"/>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row>
    <row r="24" spans="1:54" ht="12.75" hidden="1" customHeight="1">
      <c r="A24" s="44" t="s">
        <v>20</v>
      </c>
      <c r="B24" s="14"/>
      <c r="C24" s="41"/>
      <c r="D24" s="46"/>
      <c r="E24" s="42"/>
      <c r="F24" s="43"/>
      <c r="G24" s="4"/>
      <c r="H24" s="4"/>
      <c r="I24" s="4"/>
      <c r="J24" s="4"/>
      <c r="K24" s="4"/>
      <c r="L24" s="7"/>
      <c r="M24" s="7"/>
      <c r="N24" s="7"/>
      <c r="O24" s="7"/>
      <c r="P24" s="7"/>
      <c r="Q24" s="7"/>
      <c r="R24" s="7"/>
      <c r="S24" s="7"/>
      <c r="T24" s="7"/>
      <c r="U24" s="7"/>
      <c r="V24" s="7"/>
      <c r="W24" s="7"/>
      <c r="X24" s="7"/>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row>
    <row r="25" spans="1:54" ht="12.75" hidden="1" customHeight="1">
      <c r="A25" s="44" t="s">
        <v>16</v>
      </c>
      <c r="B25" s="9"/>
      <c r="C25" s="41"/>
      <c r="D25" s="46"/>
      <c r="E25" s="42"/>
      <c r="F25" s="43"/>
      <c r="G25" s="4"/>
      <c r="H25" s="4"/>
      <c r="I25" s="4"/>
      <c r="J25" s="4"/>
      <c r="K25" s="4"/>
      <c r="L25" s="7"/>
      <c r="M25" s="7"/>
      <c r="N25" s="7"/>
      <c r="O25" s="7"/>
      <c r="P25" s="7"/>
      <c r="Q25" s="7"/>
      <c r="R25" s="7"/>
      <c r="S25" s="7"/>
      <c r="T25" s="7"/>
      <c r="U25" s="7"/>
      <c r="V25" s="7"/>
      <c r="W25" s="7"/>
      <c r="X25" s="7"/>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row>
    <row r="26" spans="1:54" ht="15.75" hidden="1" customHeight="1">
      <c r="A26" s="44" t="s">
        <v>21</v>
      </c>
      <c r="B26" s="6"/>
      <c r="C26" s="41"/>
      <c r="D26" s="46"/>
      <c r="E26" s="42"/>
      <c r="F26" s="43"/>
      <c r="G26" s="4"/>
      <c r="H26" s="4"/>
      <c r="I26" s="4"/>
      <c r="J26" s="4"/>
      <c r="K26" s="4"/>
      <c r="L26" s="7"/>
      <c r="M26" s="7"/>
      <c r="N26" s="7"/>
      <c r="O26" s="7"/>
      <c r="P26" s="7"/>
      <c r="Q26" s="7"/>
      <c r="R26" s="7"/>
      <c r="S26" s="7"/>
      <c r="T26" s="7"/>
      <c r="U26" s="7"/>
      <c r="V26" s="7"/>
      <c r="W26" s="7"/>
      <c r="X26" s="7"/>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row>
    <row r="27" spans="1:54" ht="12.75" hidden="1" customHeight="1">
      <c r="A27" s="44" t="s">
        <v>23</v>
      </c>
      <c r="B27" s="6"/>
      <c r="C27" s="41"/>
      <c r="D27" s="46"/>
      <c r="E27" s="42"/>
      <c r="F27" s="43"/>
      <c r="G27" s="4"/>
      <c r="H27" s="4"/>
      <c r="I27" s="4"/>
      <c r="J27" s="4"/>
      <c r="K27" s="4"/>
      <c r="L27" s="7"/>
      <c r="M27" s="7"/>
      <c r="N27" s="7"/>
      <c r="O27" s="7"/>
      <c r="P27" s="7"/>
      <c r="Q27" s="7"/>
      <c r="R27" s="7"/>
      <c r="S27" s="7"/>
      <c r="T27" s="7"/>
      <c r="U27" s="7"/>
      <c r="V27" s="7"/>
      <c r="W27" s="7"/>
      <c r="X27" s="7"/>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row>
    <row r="28" spans="1:54" ht="12.75" hidden="1" customHeight="1">
      <c r="A28" s="44" t="s">
        <v>25</v>
      </c>
      <c r="B28" s="4"/>
      <c r="C28" s="41"/>
      <c r="D28" s="46"/>
      <c r="E28" s="42"/>
      <c r="F28" s="43"/>
      <c r="G28" s="4"/>
      <c r="H28" s="4"/>
      <c r="I28" s="4"/>
      <c r="J28" s="4"/>
      <c r="K28" s="4"/>
      <c r="L28" s="7"/>
      <c r="M28" s="7"/>
      <c r="N28" s="7"/>
      <c r="O28" s="7"/>
      <c r="P28" s="7"/>
      <c r="Q28" s="7"/>
      <c r="R28" s="7"/>
      <c r="S28" s="7"/>
      <c r="T28" s="7"/>
      <c r="U28" s="7"/>
      <c r="V28" s="7"/>
      <c r="W28" s="7"/>
      <c r="X28" s="7"/>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row>
    <row r="29" spans="1:54" ht="12.75" hidden="1" customHeight="1">
      <c r="A29" s="44" t="s">
        <v>26</v>
      </c>
      <c r="B29" s="4"/>
      <c r="C29" s="41"/>
      <c r="D29" s="46"/>
      <c r="E29" s="42"/>
      <c r="F29" s="43"/>
      <c r="G29" s="4"/>
      <c r="H29" s="4"/>
      <c r="I29" s="4"/>
      <c r="J29" s="4"/>
      <c r="K29" s="4"/>
      <c r="L29" s="7"/>
      <c r="M29" s="7"/>
      <c r="N29" s="7"/>
      <c r="O29" s="7"/>
      <c r="P29" s="7"/>
      <c r="Q29" s="7"/>
      <c r="R29" s="7"/>
      <c r="S29" s="7"/>
      <c r="T29" s="7"/>
      <c r="U29" s="7"/>
      <c r="V29" s="7"/>
      <c r="W29" s="7"/>
      <c r="X29" s="7"/>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row>
    <row r="30" spans="1:54" ht="79.5" customHeight="1">
      <c r="A30" s="44" t="s">
        <v>59</v>
      </c>
      <c r="B30" s="26"/>
      <c r="C30" s="9" t="s">
        <v>60</v>
      </c>
      <c r="D30" s="44" t="s">
        <v>55</v>
      </c>
      <c r="E30" s="51" t="s">
        <v>56</v>
      </c>
      <c r="F30" s="52" t="s">
        <v>61</v>
      </c>
      <c r="G30" s="4" t="s">
        <v>309</v>
      </c>
      <c r="H30" s="4"/>
      <c r="I30" s="58">
        <v>4500</v>
      </c>
      <c r="J30" s="4" t="s">
        <v>57</v>
      </c>
      <c r="K30" s="4" t="s">
        <v>58</v>
      </c>
      <c r="L30" s="17"/>
      <c r="M30" s="17"/>
      <c r="N30" s="17"/>
      <c r="O30" s="7"/>
      <c r="P30" s="7"/>
      <c r="Q30" s="15"/>
      <c r="R30" s="7"/>
      <c r="S30" s="7"/>
      <c r="T30" s="7"/>
      <c r="U30" s="7"/>
      <c r="V30" s="7"/>
      <c r="W30" s="15"/>
      <c r="X30" s="15"/>
      <c r="Y30" s="8"/>
      <c r="Z30" s="8"/>
      <c r="AA30" s="8"/>
      <c r="AB30" s="8"/>
      <c r="AC30" s="8"/>
      <c r="AD30" s="16"/>
      <c r="AE30" s="8"/>
      <c r="AF30" s="8"/>
      <c r="AG30" s="8"/>
      <c r="AH30" s="8"/>
      <c r="AI30" s="8"/>
      <c r="AJ30" s="16"/>
      <c r="AK30" s="16"/>
      <c r="AL30" s="16"/>
      <c r="AM30" s="16"/>
      <c r="AN30" s="16"/>
      <c r="AO30" s="16"/>
      <c r="AP30" s="16"/>
      <c r="AQ30" s="8"/>
      <c r="AR30" s="8"/>
      <c r="AS30" s="8"/>
      <c r="AT30" s="8"/>
      <c r="AU30" s="8"/>
      <c r="AV30" s="16"/>
      <c r="AW30" s="8"/>
      <c r="AX30" s="8"/>
      <c r="AY30" s="8"/>
      <c r="AZ30" s="8"/>
      <c r="BA30" s="8"/>
      <c r="BB30" s="16"/>
    </row>
    <row r="31" spans="1:54" ht="101.25" customHeight="1">
      <c r="A31" s="44" t="s">
        <v>62</v>
      </c>
      <c r="B31" s="54"/>
      <c r="C31" s="50" t="s">
        <v>60</v>
      </c>
      <c r="D31" s="57" t="s">
        <v>63</v>
      </c>
      <c r="E31" s="56" t="s">
        <v>64</v>
      </c>
      <c r="F31" s="52" t="s">
        <v>65</v>
      </c>
      <c r="G31" s="4" t="s">
        <v>309</v>
      </c>
      <c r="H31" s="4">
        <v>2011</v>
      </c>
      <c r="I31" s="58">
        <v>5500</v>
      </c>
      <c r="J31" s="4" t="s">
        <v>66</v>
      </c>
      <c r="K31" s="52" t="s">
        <v>67</v>
      </c>
      <c r="L31" s="27"/>
      <c r="M31" s="27"/>
      <c r="N31" s="27"/>
      <c r="O31" s="28"/>
      <c r="P31" s="28"/>
      <c r="Q31" s="29"/>
      <c r="R31" s="28"/>
      <c r="S31" s="28"/>
      <c r="T31" s="28"/>
      <c r="U31" s="28"/>
      <c r="V31" s="28"/>
      <c r="W31" s="29"/>
      <c r="X31" s="29"/>
      <c r="Y31" s="30"/>
      <c r="Z31" s="30"/>
      <c r="AA31" s="30"/>
      <c r="AB31" s="30"/>
      <c r="AC31" s="30"/>
      <c r="AD31" s="31"/>
      <c r="AE31" s="30"/>
      <c r="AF31" s="30"/>
      <c r="AG31" s="30"/>
      <c r="AH31" s="30"/>
      <c r="AI31" s="30"/>
      <c r="AJ31" s="31"/>
      <c r="AK31" s="31"/>
      <c r="AL31" s="31"/>
      <c r="AM31" s="31"/>
      <c r="AN31" s="31"/>
      <c r="AO31" s="31"/>
      <c r="AP31" s="31"/>
      <c r="AQ31" s="30"/>
      <c r="AR31" s="30"/>
      <c r="AS31" s="30"/>
      <c r="AT31" s="30"/>
      <c r="AU31" s="30"/>
      <c r="AV31" s="31"/>
      <c r="AW31" s="30"/>
      <c r="AX31" s="30"/>
      <c r="AY31" s="30"/>
      <c r="AZ31" s="30"/>
      <c r="BA31" s="30"/>
      <c r="BB31" s="31"/>
    </row>
    <row r="32" spans="1:54" ht="141" customHeight="1">
      <c r="A32" s="44" t="s">
        <v>68</v>
      </c>
      <c r="B32" s="54"/>
      <c r="C32" s="50" t="s">
        <v>69</v>
      </c>
      <c r="D32" s="57" t="s">
        <v>70</v>
      </c>
      <c r="E32" s="53"/>
      <c r="F32" s="52"/>
      <c r="G32" s="4" t="s">
        <v>309</v>
      </c>
      <c r="H32" s="4" t="s">
        <v>71</v>
      </c>
      <c r="I32" s="58">
        <v>58084</v>
      </c>
      <c r="J32" s="52" t="s">
        <v>72</v>
      </c>
      <c r="K32" s="52" t="s">
        <v>73</v>
      </c>
      <c r="L32" s="27"/>
      <c r="M32" s="27"/>
      <c r="N32" s="27"/>
      <c r="O32" s="28"/>
      <c r="P32" s="28"/>
      <c r="Q32" s="29"/>
      <c r="R32" s="28"/>
      <c r="S32" s="28"/>
      <c r="T32" s="28"/>
      <c r="U32" s="28"/>
      <c r="V32" s="28"/>
      <c r="W32" s="29"/>
      <c r="X32" s="29"/>
      <c r="Y32" s="30"/>
      <c r="Z32" s="30"/>
      <c r="AA32" s="30"/>
      <c r="AB32" s="30"/>
      <c r="AC32" s="30"/>
      <c r="AD32" s="31"/>
      <c r="AE32" s="30"/>
      <c r="AF32" s="30"/>
      <c r="AG32" s="30"/>
      <c r="AH32" s="30"/>
      <c r="AI32" s="30"/>
      <c r="AJ32" s="31"/>
      <c r="AK32" s="31"/>
      <c r="AL32" s="31"/>
      <c r="AM32" s="31"/>
      <c r="AN32" s="31"/>
      <c r="AO32" s="31"/>
      <c r="AP32" s="31"/>
      <c r="AQ32" s="30"/>
      <c r="AR32" s="30"/>
      <c r="AS32" s="30"/>
      <c r="AT32" s="30"/>
      <c r="AU32" s="30"/>
      <c r="AV32" s="31"/>
      <c r="AW32" s="30"/>
      <c r="AX32" s="30"/>
      <c r="AY32" s="30"/>
      <c r="AZ32" s="30"/>
      <c r="BA32" s="30"/>
      <c r="BB32" s="31"/>
    </row>
    <row r="33" spans="1:54" ht="125.25" customHeight="1">
      <c r="A33" s="44" t="s">
        <v>74</v>
      </c>
      <c r="B33" s="54"/>
      <c r="C33" s="50" t="s">
        <v>69</v>
      </c>
      <c r="D33" s="61" t="s">
        <v>75</v>
      </c>
      <c r="E33" s="59"/>
      <c r="F33" s="60"/>
      <c r="G33" s="9" t="s">
        <v>309</v>
      </c>
      <c r="H33" s="50" t="s">
        <v>71</v>
      </c>
      <c r="I33" s="58">
        <v>58084</v>
      </c>
      <c r="J33" s="9" t="s">
        <v>72</v>
      </c>
      <c r="K33" s="50" t="s">
        <v>76</v>
      </c>
      <c r="L33" s="27"/>
      <c r="M33" s="27"/>
      <c r="N33" s="27"/>
      <c r="O33" s="28"/>
      <c r="P33" s="28"/>
      <c r="Q33" s="29"/>
      <c r="R33" s="28"/>
      <c r="S33" s="28"/>
      <c r="T33" s="28"/>
      <c r="U33" s="28"/>
      <c r="V33" s="28"/>
      <c r="W33" s="29"/>
      <c r="X33" s="29"/>
      <c r="Y33" s="30"/>
      <c r="Z33" s="30"/>
      <c r="AA33" s="30"/>
      <c r="AB33" s="30"/>
      <c r="AC33" s="30"/>
      <c r="AD33" s="31"/>
      <c r="AE33" s="30"/>
      <c r="AF33" s="30"/>
      <c r="AG33" s="30"/>
      <c r="AH33" s="30"/>
      <c r="AI33" s="30"/>
      <c r="AJ33" s="31"/>
      <c r="AK33" s="31"/>
      <c r="AL33" s="31"/>
      <c r="AM33" s="31"/>
      <c r="AN33" s="31"/>
      <c r="AO33" s="31"/>
      <c r="AP33" s="31"/>
      <c r="AQ33" s="30"/>
      <c r="AR33" s="30"/>
      <c r="AS33" s="30"/>
      <c r="AT33" s="30"/>
      <c r="AU33" s="30"/>
      <c r="AV33" s="31"/>
      <c r="AW33" s="30"/>
      <c r="AX33" s="30"/>
      <c r="AY33" s="30"/>
      <c r="AZ33" s="30"/>
      <c r="BA33" s="30"/>
      <c r="BB33" s="31"/>
    </row>
    <row r="34" spans="1:54" ht="81.75" customHeight="1">
      <c r="A34" s="44" t="s">
        <v>77</v>
      </c>
      <c r="B34" s="59"/>
      <c r="C34" s="50" t="s">
        <v>79</v>
      </c>
      <c r="D34" s="9" t="s">
        <v>78</v>
      </c>
      <c r="E34" s="55" t="s">
        <v>80</v>
      </c>
      <c r="F34" s="50"/>
      <c r="G34" s="9" t="s">
        <v>309</v>
      </c>
      <c r="H34" s="9" t="s">
        <v>81</v>
      </c>
      <c r="I34" s="9" t="s">
        <v>82</v>
      </c>
      <c r="J34" s="9" t="s">
        <v>72</v>
      </c>
      <c r="K34" s="50"/>
    </row>
    <row r="35" spans="1:54" ht="76.5" customHeight="1">
      <c r="A35" s="44" t="s">
        <v>83</v>
      </c>
      <c r="B35" s="59"/>
      <c r="C35" s="50" t="s">
        <v>84</v>
      </c>
      <c r="D35" s="9" t="s">
        <v>85</v>
      </c>
      <c r="E35" s="55" t="s">
        <v>80</v>
      </c>
      <c r="F35" s="50"/>
      <c r="G35" s="9" t="s">
        <v>309</v>
      </c>
      <c r="H35" s="9" t="s">
        <v>81</v>
      </c>
      <c r="I35" s="63">
        <v>93820</v>
      </c>
      <c r="J35" s="9" t="s">
        <v>72</v>
      </c>
      <c r="K35" s="50" t="s">
        <v>87</v>
      </c>
      <c r="L35" s="32"/>
      <c r="M35" s="32"/>
      <c r="N35" s="32"/>
      <c r="O35" s="32"/>
      <c r="P35" s="32"/>
      <c r="Q35" s="32"/>
      <c r="R35" s="32"/>
      <c r="S35" s="32"/>
      <c r="T35" s="32"/>
    </row>
    <row r="36" spans="1:54" ht="80.25" customHeight="1">
      <c r="A36" s="44" t="s">
        <v>86</v>
      </c>
      <c r="B36" s="59"/>
      <c r="C36" s="50" t="s">
        <v>84</v>
      </c>
      <c r="D36" s="9"/>
      <c r="E36" s="55" t="s">
        <v>80</v>
      </c>
      <c r="F36" s="50"/>
      <c r="G36" s="9" t="s">
        <v>309</v>
      </c>
      <c r="H36" s="9" t="s">
        <v>81</v>
      </c>
      <c r="I36" s="63">
        <v>50420</v>
      </c>
      <c r="J36" s="9" t="s">
        <v>90</v>
      </c>
      <c r="K36" s="50"/>
    </row>
    <row r="37" spans="1:54" ht="53.25" customHeight="1">
      <c r="A37" s="44" t="s">
        <v>88</v>
      </c>
      <c r="B37" s="59"/>
      <c r="C37" s="50" t="s">
        <v>84</v>
      </c>
      <c r="D37" s="9" t="s">
        <v>85</v>
      </c>
      <c r="E37" s="55" t="s">
        <v>80</v>
      </c>
      <c r="F37" s="50"/>
      <c r="G37" s="9" t="s">
        <v>309</v>
      </c>
      <c r="H37" s="9" t="s">
        <v>81</v>
      </c>
      <c r="I37" s="63">
        <v>95800</v>
      </c>
      <c r="J37" s="9" t="s">
        <v>89</v>
      </c>
      <c r="K37" s="50"/>
      <c r="L37" s="33"/>
      <c r="M37" s="33"/>
      <c r="N37" s="33"/>
      <c r="O37" s="33"/>
      <c r="P37" s="33"/>
      <c r="Q37" s="33"/>
      <c r="R37" s="33"/>
      <c r="S37" s="33"/>
      <c r="T37" s="33"/>
    </row>
    <row r="38" spans="1:54" ht="66" customHeight="1">
      <c r="A38" s="44" t="s">
        <v>91</v>
      </c>
      <c r="B38" s="59"/>
      <c r="C38" s="50" t="s">
        <v>84</v>
      </c>
      <c r="D38" s="9" t="s">
        <v>92</v>
      </c>
      <c r="E38" s="55" t="s">
        <v>80</v>
      </c>
      <c r="F38" s="50"/>
      <c r="G38" s="9" t="s">
        <v>309</v>
      </c>
      <c r="H38" s="9" t="s">
        <v>81</v>
      </c>
      <c r="I38" s="63">
        <v>99500</v>
      </c>
      <c r="J38" s="9" t="s">
        <v>89</v>
      </c>
      <c r="K38" s="50" t="s">
        <v>93</v>
      </c>
    </row>
    <row r="39" spans="1:54" ht="60" customHeight="1">
      <c r="A39" s="44" t="s">
        <v>94</v>
      </c>
      <c r="B39" s="59"/>
      <c r="C39" s="50" t="s">
        <v>84</v>
      </c>
      <c r="D39" s="9" t="s">
        <v>95</v>
      </c>
      <c r="E39" s="55" t="s">
        <v>96</v>
      </c>
      <c r="F39" s="50"/>
      <c r="G39" s="9" t="s">
        <v>392</v>
      </c>
      <c r="H39" s="4">
        <v>2014</v>
      </c>
      <c r="I39" s="63">
        <v>192220</v>
      </c>
      <c r="J39" s="9" t="s">
        <v>98</v>
      </c>
      <c r="K39" s="50" t="s">
        <v>97</v>
      </c>
    </row>
    <row r="40" spans="1:54" ht="129.75" customHeight="1">
      <c r="A40" s="44" t="s">
        <v>100</v>
      </c>
      <c r="B40" s="59"/>
      <c r="C40" s="50" t="s">
        <v>99</v>
      </c>
      <c r="D40" s="9" t="s">
        <v>101</v>
      </c>
      <c r="E40" s="55" t="s">
        <v>80</v>
      </c>
      <c r="F40" s="50"/>
      <c r="G40" s="9" t="s">
        <v>309</v>
      </c>
      <c r="H40" s="9" t="s">
        <v>102</v>
      </c>
      <c r="I40" s="63">
        <v>43370</v>
      </c>
      <c r="J40" s="9" t="s">
        <v>103</v>
      </c>
      <c r="K40" s="50" t="s">
        <v>104</v>
      </c>
    </row>
    <row r="41" spans="1:54" ht="96.75" customHeight="1">
      <c r="A41" s="44" t="s">
        <v>105</v>
      </c>
      <c r="B41" s="59"/>
      <c r="C41" s="50" t="s">
        <v>99</v>
      </c>
      <c r="D41" s="9" t="s">
        <v>106</v>
      </c>
      <c r="E41" s="55" t="s">
        <v>80</v>
      </c>
      <c r="F41" s="50"/>
      <c r="G41" s="9" t="s">
        <v>309</v>
      </c>
      <c r="H41" s="9" t="s">
        <v>107</v>
      </c>
      <c r="I41" s="63">
        <v>10743</v>
      </c>
      <c r="J41" s="9" t="s">
        <v>108</v>
      </c>
      <c r="K41" s="50" t="s">
        <v>109</v>
      </c>
      <c r="L41" s="23"/>
      <c r="M41" s="23"/>
      <c r="N41" s="23"/>
      <c r="O41" s="23"/>
      <c r="P41" s="23"/>
      <c r="Q41" s="23"/>
      <c r="R41" s="23"/>
      <c r="S41" s="23"/>
      <c r="T41" s="23"/>
    </row>
    <row r="42" spans="1:54" ht="236.25" customHeight="1">
      <c r="A42" s="44" t="s">
        <v>110</v>
      </c>
      <c r="B42" s="59"/>
      <c r="C42" s="50" t="s">
        <v>99</v>
      </c>
      <c r="D42" s="61" t="s">
        <v>111</v>
      </c>
      <c r="E42" s="55" t="s">
        <v>80</v>
      </c>
      <c r="F42" s="50"/>
      <c r="G42" s="9" t="s">
        <v>309</v>
      </c>
      <c r="H42" s="9" t="s">
        <v>112</v>
      </c>
      <c r="I42" s="63">
        <v>10743</v>
      </c>
      <c r="J42" s="9" t="s">
        <v>108</v>
      </c>
      <c r="K42" s="50" t="s">
        <v>113</v>
      </c>
      <c r="L42" s="23"/>
      <c r="M42" s="23"/>
      <c r="N42" s="23"/>
      <c r="O42" s="23"/>
      <c r="P42" s="23"/>
      <c r="Q42" s="23"/>
      <c r="R42" s="23"/>
      <c r="S42" s="23"/>
      <c r="T42" s="23"/>
    </row>
    <row r="43" spans="1:54" ht="360.75" customHeight="1">
      <c r="A43" s="44" t="s">
        <v>114</v>
      </c>
      <c r="B43" s="59"/>
      <c r="C43" s="50" t="s">
        <v>99</v>
      </c>
      <c r="D43" s="61" t="s">
        <v>115</v>
      </c>
      <c r="E43" s="55" t="s">
        <v>80</v>
      </c>
      <c r="F43" s="50"/>
      <c r="G43" s="9" t="s">
        <v>309</v>
      </c>
      <c r="H43" s="9" t="s">
        <v>116</v>
      </c>
      <c r="I43" s="58">
        <v>6051</v>
      </c>
      <c r="J43" s="9" t="s">
        <v>117</v>
      </c>
      <c r="K43" s="64" t="s">
        <v>118</v>
      </c>
      <c r="L43" s="32"/>
      <c r="M43" s="32"/>
      <c r="N43" s="32"/>
      <c r="O43" s="32"/>
      <c r="P43" s="32"/>
      <c r="Q43" s="32"/>
      <c r="R43" s="32"/>
      <c r="S43" s="32"/>
      <c r="T43" s="32"/>
    </row>
    <row r="44" spans="1:54" ht="181.5" customHeight="1">
      <c r="A44" s="444" t="s">
        <v>119</v>
      </c>
      <c r="B44" s="59"/>
      <c r="C44" s="50" t="s">
        <v>99</v>
      </c>
      <c r="D44" s="61" t="s">
        <v>120</v>
      </c>
      <c r="E44" s="55" t="s">
        <v>80</v>
      </c>
      <c r="F44" s="50"/>
      <c r="G44" s="9" t="s">
        <v>309</v>
      </c>
      <c r="H44" s="65" t="s">
        <v>121</v>
      </c>
      <c r="I44" s="58">
        <v>2660450</v>
      </c>
      <c r="J44" s="9" t="s">
        <v>122</v>
      </c>
      <c r="K44" s="64" t="s">
        <v>123</v>
      </c>
    </row>
    <row r="45" spans="1:54" ht="228.75" customHeight="1">
      <c r="A45" s="444" t="s">
        <v>119</v>
      </c>
      <c r="B45" s="59"/>
      <c r="C45" s="50" t="s">
        <v>99</v>
      </c>
      <c r="D45" s="61" t="s">
        <v>120</v>
      </c>
      <c r="E45" s="55" t="s">
        <v>80</v>
      </c>
      <c r="F45" s="50"/>
      <c r="G45" s="9" t="s">
        <v>309</v>
      </c>
      <c r="H45" s="66" t="s">
        <v>124</v>
      </c>
      <c r="I45" s="58">
        <v>139000</v>
      </c>
      <c r="J45" s="9" t="s">
        <v>125</v>
      </c>
      <c r="K45" s="64" t="s">
        <v>126</v>
      </c>
    </row>
    <row r="46" spans="1:54" ht="195.75" customHeight="1">
      <c r="A46" s="44" t="s">
        <v>127</v>
      </c>
      <c r="B46" s="59"/>
      <c r="C46" s="50" t="s">
        <v>99</v>
      </c>
      <c r="D46" s="61" t="s">
        <v>128</v>
      </c>
      <c r="E46" s="55" t="s">
        <v>80</v>
      </c>
      <c r="F46" s="50"/>
      <c r="G46" s="9" t="s">
        <v>309</v>
      </c>
      <c r="H46" s="66" t="s">
        <v>121</v>
      </c>
      <c r="I46" s="58">
        <v>2660450</v>
      </c>
      <c r="J46" s="9" t="s">
        <v>122</v>
      </c>
      <c r="K46" s="64" t="s">
        <v>123</v>
      </c>
    </row>
    <row r="47" spans="1:54" ht="192" customHeight="1">
      <c r="A47" s="44" t="s">
        <v>129</v>
      </c>
      <c r="B47" s="59"/>
      <c r="C47" s="50" t="s">
        <v>99</v>
      </c>
      <c r="D47" s="61" t="s">
        <v>136</v>
      </c>
      <c r="E47" s="55" t="s">
        <v>130</v>
      </c>
      <c r="F47" s="50" t="s">
        <v>131</v>
      </c>
      <c r="G47" s="9" t="s">
        <v>309</v>
      </c>
      <c r="H47" s="66" t="s">
        <v>132</v>
      </c>
      <c r="I47" s="58">
        <v>111000</v>
      </c>
      <c r="J47" s="9" t="s">
        <v>133</v>
      </c>
      <c r="K47" s="64" t="s">
        <v>134</v>
      </c>
    </row>
    <row r="48" spans="1:54" ht="164.25" customHeight="1">
      <c r="A48" s="44" t="s">
        <v>135</v>
      </c>
      <c r="B48" s="59"/>
      <c r="C48" s="50" t="s">
        <v>99</v>
      </c>
      <c r="D48" s="61" t="s">
        <v>137</v>
      </c>
      <c r="E48" s="55" t="s">
        <v>138</v>
      </c>
      <c r="F48" s="50" t="s">
        <v>139</v>
      </c>
      <c r="G48" s="9" t="s">
        <v>309</v>
      </c>
      <c r="H48" s="66" t="s">
        <v>140</v>
      </c>
      <c r="I48" s="58">
        <v>9300</v>
      </c>
      <c r="J48" s="9" t="s">
        <v>141</v>
      </c>
      <c r="K48" s="64" t="s">
        <v>142</v>
      </c>
    </row>
    <row r="49" spans="1:11" ht="316.5" customHeight="1">
      <c r="A49" s="44" t="s">
        <v>144</v>
      </c>
      <c r="B49" s="59"/>
      <c r="C49" s="50" t="s">
        <v>99</v>
      </c>
      <c r="D49" s="61" t="s">
        <v>145</v>
      </c>
      <c r="E49" s="55" t="s">
        <v>80</v>
      </c>
      <c r="F49" s="50"/>
      <c r="G49" s="9" t="s">
        <v>309</v>
      </c>
      <c r="H49" s="66" t="s">
        <v>146</v>
      </c>
      <c r="I49" s="58">
        <v>8680</v>
      </c>
      <c r="J49" s="9" t="s">
        <v>72</v>
      </c>
      <c r="K49" s="64" t="s">
        <v>147</v>
      </c>
    </row>
    <row r="50" spans="1:11" ht="159.75" customHeight="1">
      <c r="A50" s="44" t="s">
        <v>148</v>
      </c>
      <c r="B50" s="59"/>
      <c r="C50" s="50" t="s">
        <v>99</v>
      </c>
      <c r="D50" s="61" t="s">
        <v>149</v>
      </c>
      <c r="E50" s="55" t="s">
        <v>80</v>
      </c>
      <c r="F50" s="50"/>
      <c r="G50" s="9" t="s">
        <v>309</v>
      </c>
      <c r="H50" s="66" t="s">
        <v>150</v>
      </c>
      <c r="I50" s="58" t="s">
        <v>7</v>
      </c>
      <c r="J50" s="9" t="s">
        <v>72</v>
      </c>
      <c r="K50" s="64" t="s">
        <v>151</v>
      </c>
    </row>
    <row r="51" spans="1:11" ht="409.5" customHeight="1">
      <c r="A51" s="44" t="s">
        <v>152</v>
      </c>
      <c r="B51" s="59"/>
      <c r="C51" s="58" t="s">
        <v>153</v>
      </c>
      <c r="D51" s="58" t="s">
        <v>154</v>
      </c>
      <c r="E51" s="58" t="s">
        <v>80</v>
      </c>
      <c r="F51" s="58" t="s">
        <v>155</v>
      </c>
      <c r="G51" s="9" t="s">
        <v>309</v>
      </c>
      <c r="H51" s="58" t="s">
        <v>157</v>
      </c>
      <c r="I51" s="75">
        <v>29114.669000000002</v>
      </c>
      <c r="J51" s="58" t="s">
        <v>1</v>
      </c>
      <c r="K51" s="58" t="s">
        <v>194</v>
      </c>
    </row>
    <row r="52" spans="1:11" ht="211.5" customHeight="1">
      <c r="A52" s="76" t="s">
        <v>160</v>
      </c>
      <c r="B52" s="58" t="s">
        <v>153</v>
      </c>
      <c r="C52" s="58" t="s">
        <v>153</v>
      </c>
      <c r="D52" s="58" t="s">
        <v>158</v>
      </c>
      <c r="E52" s="58" t="s">
        <v>80</v>
      </c>
      <c r="F52" s="58" t="s">
        <v>155</v>
      </c>
      <c r="G52" s="9" t="s">
        <v>309</v>
      </c>
      <c r="H52" s="58" t="s">
        <v>143</v>
      </c>
      <c r="I52" s="75">
        <v>18274</v>
      </c>
      <c r="J52" s="58" t="s">
        <v>1</v>
      </c>
      <c r="K52" s="58" t="s">
        <v>159</v>
      </c>
    </row>
    <row r="53" spans="1:11" ht="303" customHeight="1">
      <c r="A53" s="76" t="s">
        <v>208</v>
      </c>
      <c r="B53" s="58" t="s">
        <v>161</v>
      </c>
      <c r="C53" s="58" t="s">
        <v>161</v>
      </c>
      <c r="D53" s="58" t="s">
        <v>162</v>
      </c>
      <c r="E53" s="58" t="s">
        <v>163</v>
      </c>
      <c r="F53" s="58" t="s">
        <v>164</v>
      </c>
      <c r="G53" s="9" t="s">
        <v>309</v>
      </c>
      <c r="H53" s="58" t="s">
        <v>165</v>
      </c>
      <c r="I53" s="75">
        <v>14921548</v>
      </c>
      <c r="J53" s="58" t="s">
        <v>1</v>
      </c>
      <c r="K53" s="58" t="s">
        <v>166</v>
      </c>
    </row>
    <row r="54" spans="1:11" ht="124.5" customHeight="1">
      <c r="A54" s="76" t="s">
        <v>207</v>
      </c>
      <c r="B54" s="58" t="s">
        <v>161</v>
      </c>
      <c r="C54" s="58" t="s">
        <v>161</v>
      </c>
      <c r="D54" s="58" t="s">
        <v>167</v>
      </c>
      <c r="E54" s="58" t="s">
        <v>163</v>
      </c>
      <c r="F54" s="58" t="s">
        <v>168</v>
      </c>
      <c r="G54" s="58" t="s">
        <v>309</v>
      </c>
      <c r="H54" s="58" t="s">
        <v>169</v>
      </c>
      <c r="I54" s="75">
        <v>2835</v>
      </c>
      <c r="J54" s="58" t="s">
        <v>170</v>
      </c>
      <c r="K54" s="58" t="s">
        <v>171</v>
      </c>
    </row>
    <row r="55" spans="1:11" ht="351.75" customHeight="1">
      <c r="A55" s="76" t="s">
        <v>206</v>
      </c>
      <c r="B55" s="58" t="s">
        <v>153</v>
      </c>
      <c r="C55" s="58" t="s">
        <v>153</v>
      </c>
      <c r="D55" s="58" t="s">
        <v>172</v>
      </c>
      <c r="E55" s="58" t="s">
        <v>80</v>
      </c>
      <c r="F55" s="58" t="s">
        <v>155</v>
      </c>
      <c r="G55" s="58" t="s">
        <v>309</v>
      </c>
      <c r="H55" s="58" t="s">
        <v>157</v>
      </c>
      <c r="I55" s="75">
        <v>130348</v>
      </c>
      <c r="J55" s="58" t="s">
        <v>1</v>
      </c>
      <c r="K55" s="78" t="s">
        <v>195</v>
      </c>
    </row>
    <row r="56" spans="1:11" ht="218.25" customHeight="1">
      <c r="A56" s="76" t="s">
        <v>204</v>
      </c>
      <c r="B56" s="58" t="s">
        <v>153</v>
      </c>
      <c r="C56" s="58" t="s">
        <v>153</v>
      </c>
      <c r="D56" s="58" t="s">
        <v>173</v>
      </c>
      <c r="E56" s="58" t="s">
        <v>80</v>
      </c>
      <c r="F56" s="58" t="s">
        <v>155</v>
      </c>
      <c r="G56" s="9" t="s">
        <v>309</v>
      </c>
      <c r="H56" s="58" t="s">
        <v>157</v>
      </c>
      <c r="I56" s="75">
        <v>69302.303343000007</v>
      </c>
      <c r="J56" s="58" t="s">
        <v>1</v>
      </c>
      <c r="K56" s="58" t="s">
        <v>196</v>
      </c>
    </row>
    <row r="57" spans="1:11" ht="105" customHeight="1">
      <c r="A57" s="76" t="s">
        <v>205</v>
      </c>
      <c r="B57" s="58" t="s">
        <v>161</v>
      </c>
      <c r="C57" s="58" t="s">
        <v>161</v>
      </c>
      <c r="D57" s="58" t="s">
        <v>174</v>
      </c>
      <c r="E57" s="58" t="s">
        <v>80</v>
      </c>
      <c r="F57" s="58" t="s">
        <v>155</v>
      </c>
      <c r="G57" s="9" t="s">
        <v>309</v>
      </c>
      <c r="H57" s="58" t="s">
        <v>175</v>
      </c>
      <c r="I57" s="75">
        <v>80000</v>
      </c>
      <c r="J57" s="58" t="s">
        <v>1</v>
      </c>
      <c r="K57" s="58"/>
    </row>
    <row r="58" spans="1:11" ht="163.5" customHeight="1">
      <c r="A58" s="76" t="s">
        <v>203</v>
      </c>
      <c r="B58" s="58" t="s">
        <v>161</v>
      </c>
      <c r="C58" s="58" t="s">
        <v>161</v>
      </c>
      <c r="D58" s="58" t="s">
        <v>176</v>
      </c>
      <c r="E58" s="58" t="s">
        <v>80</v>
      </c>
      <c r="F58" s="58" t="s">
        <v>155</v>
      </c>
      <c r="G58" s="9" t="s">
        <v>309</v>
      </c>
      <c r="H58" s="58" t="s">
        <v>177</v>
      </c>
      <c r="I58" s="75">
        <v>1000000</v>
      </c>
      <c r="J58" s="58" t="s">
        <v>1</v>
      </c>
      <c r="K58" s="77" t="s">
        <v>178</v>
      </c>
    </row>
    <row r="59" spans="1:11" hidden="1"/>
    <row r="60" spans="1:11" ht="228" customHeight="1">
      <c r="A60" s="76" t="s">
        <v>202</v>
      </c>
      <c r="B60" s="58" t="s">
        <v>161</v>
      </c>
      <c r="C60" s="58" t="s">
        <v>161</v>
      </c>
      <c r="D60" s="4" t="s">
        <v>179</v>
      </c>
      <c r="E60" s="58" t="s">
        <v>80</v>
      </c>
      <c r="F60" s="58" t="s">
        <v>155</v>
      </c>
      <c r="G60" s="9" t="s">
        <v>309</v>
      </c>
      <c r="H60" s="58" t="s">
        <v>180</v>
      </c>
      <c r="I60" s="75">
        <v>12766140</v>
      </c>
      <c r="J60" s="58" t="s">
        <v>1</v>
      </c>
      <c r="K60" s="58" t="s">
        <v>181</v>
      </c>
    </row>
    <row r="61" spans="1:11" ht="123.75" customHeight="1">
      <c r="A61" s="76" t="s">
        <v>201</v>
      </c>
      <c r="B61" s="58" t="s">
        <v>161</v>
      </c>
      <c r="C61" s="58" t="s">
        <v>161</v>
      </c>
      <c r="D61" s="58" t="s">
        <v>182</v>
      </c>
      <c r="E61" s="58" t="s">
        <v>80</v>
      </c>
      <c r="F61" s="58" t="s">
        <v>155</v>
      </c>
      <c r="G61" s="9" t="s">
        <v>309</v>
      </c>
      <c r="H61" s="58" t="s">
        <v>183</v>
      </c>
      <c r="I61" s="75">
        <v>475916.39999999997</v>
      </c>
      <c r="J61" s="58" t="s">
        <v>1</v>
      </c>
      <c r="K61" s="58" t="s">
        <v>184</v>
      </c>
    </row>
    <row r="62" spans="1:11" hidden="1"/>
    <row r="63" spans="1:11" hidden="1"/>
    <row r="64" spans="1:11" ht="204">
      <c r="A64" s="76" t="s">
        <v>200</v>
      </c>
      <c r="B64" s="58" t="s">
        <v>161</v>
      </c>
      <c r="C64" s="58" t="s">
        <v>161</v>
      </c>
      <c r="D64" s="58" t="s">
        <v>192</v>
      </c>
      <c r="E64" s="58" t="s">
        <v>80</v>
      </c>
      <c r="F64" s="58" t="s">
        <v>155</v>
      </c>
      <c r="G64" s="9" t="s">
        <v>309</v>
      </c>
      <c r="H64" s="58" t="s">
        <v>157</v>
      </c>
      <c r="I64" s="75">
        <v>18817</v>
      </c>
      <c r="J64" s="58" t="s">
        <v>1</v>
      </c>
      <c r="K64" s="58" t="s">
        <v>193</v>
      </c>
    </row>
    <row r="65" spans="1:11" ht="90.75" customHeight="1">
      <c r="A65" s="76" t="s">
        <v>199</v>
      </c>
      <c r="B65" s="58" t="s">
        <v>161</v>
      </c>
      <c r="C65" s="58" t="s">
        <v>161</v>
      </c>
      <c r="D65" s="58" t="s">
        <v>185</v>
      </c>
      <c r="E65" s="58" t="s">
        <v>163</v>
      </c>
      <c r="F65" s="58" t="s">
        <v>186</v>
      </c>
      <c r="G65" s="9" t="s">
        <v>309</v>
      </c>
      <c r="H65" s="58" t="s">
        <v>157</v>
      </c>
      <c r="I65" s="75">
        <v>25020.13</v>
      </c>
      <c r="J65" s="58" t="s">
        <v>1</v>
      </c>
      <c r="K65" s="63" t="s">
        <v>187</v>
      </c>
    </row>
    <row r="66" spans="1:11" ht="83.25" customHeight="1">
      <c r="A66" s="76" t="s">
        <v>198</v>
      </c>
      <c r="B66" s="58" t="s">
        <v>153</v>
      </c>
      <c r="C66" s="58" t="s">
        <v>153</v>
      </c>
      <c r="D66" s="58" t="s">
        <v>188</v>
      </c>
      <c r="E66" s="58" t="s">
        <v>80</v>
      </c>
      <c r="F66" s="58" t="s">
        <v>155</v>
      </c>
      <c r="G66" s="9" t="s">
        <v>309</v>
      </c>
      <c r="H66" s="58" t="s">
        <v>157</v>
      </c>
      <c r="I66" s="75">
        <v>4000</v>
      </c>
      <c r="J66" s="58" t="s">
        <v>1</v>
      </c>
      <c r="K66" s="58" t="s">
        <v>189</v>
      </c>
    </row>
    <row r="67" spans="1:11" ht="81.75" customHeight="1">
      <c r="A67" s="76" t="s">
        <v>197</v>
      </c>
      <c r="B67" s="58" t="s">
        <v>153</v>
      </c>
      <c r="C67" s="58" t="s">
        <v>153</v>
      </c>
      <c r="D67" s="58" t="s">
        <v>190</v>
      </c>
      <c r="E67" s="58" t="s">
        <v>80</v>
      </c>
      <c r="F67" s="58" t="s">
        <v>155</v>
      </c>
      <c r="G67" s="9" t="s">
        <v>309</v>
      </c>
      <c r="H67" s="58" t="s">
        <v>143</v>
      </c>
      <c r="I67" s="75">
        <v>139935</v>
      </c>
      <c r="J67" s="58" t="s">
        <v>1</v>
      </c>
      <c r="K67" s="58" t="s">
        <v>191</v>
      </c>
    </row>
    <row r="69" spans="1:11">
      <c r="H69" s="445" t="s">
        <v>18</v>
      </c>
      <c r="I69" s="446">
        <f>SUM(I10:I33)+SUM(I35:I67)+120+126+132.3+138.92</f>
        <v>35999482.722342998</v>
      </c>
    </row>
  </sheetData>
  <mergeCells count="27">
    <mergeCell ref="D10:D15"/>
    <mergeCell ref="H10:H15"/>
    <mergeCell ref="I10:I15"/>
    <mergeCell ref="J10:J15"/>
    <mergeCell ref="K10:K15"/>
    <mergeCell ref="G10:G15"/>
    <mergeCell ref="E3:F3"/>
    <mergeCell ref="G3:G5"/>
    <mergeCell ref="R4:W4"/>
    <mergeCell ref="K3:K5"/>
    <mergeCell ref="I3:I5"/>
    <mergeCell ref="AK4:AP4"/>
    <mergeCell ref="L4:Q4"/>
    <mergeCell ref="C10:C15"/>
    <mergeCell ref="A3:A5"/>
    <mergeCell ref="C3:C5"/>
    <mergeCell ref="L3:BB3"/>
    <mergeCell ref="E4:E5"/>
    <mergeCell ref="F4:F5"/>
    <mergeCell ref="E10:F15"/>
    <mergeCell ref="J3:J5"/>
    <mergeCell ref="Y4:AD4"/>
    <mergeCell ref="D3:D5"/>
    <mergeCell ref="AE4:AJ4"/>
    <mergeCell ref="H3:H5"/>
    <mergeCell ref="AQ4:AV4"/>
    <mergeCell ref="AW4:BB4"/>
  </mergeCells>
  <printOptions horizontalCentered="1"/>
  <pageMargins left="0.2" right="0.2" top="0.7" bottom="0.7" header="0.3" footer="0.3"/>
  <pageSetup paperSize="12" scale="55" orientation="landscape" r:id="rId1"/>
  <headerFooter>
    <oddHeader>&amp;C&amp;"Arial,Regular"&amp;10Format for Annex A&amp;"Arial,Bold"Status Report on the Major Priority Programs and Projects in the 2011-2016 PIP (Working Draft as of 31 May 2012)</oddHeader>
    <oddFooter>&amp;L&amp;"Arial,Regular"&amp;10Revalidated 2011-2016 PIP&amp;R&amp;"Arial,Regular"&amp;10&amp;P of &amp;N</oddFooter>
  </headerFooter>
  <rowBreaks count="6" manualBreakCount="6">
    <brk id="30" max="53" man="1"/>
    <brk id="39" max="53" man="1"/>
    <brk id="42" max="53" man="1"/>
    <brk id="43" max="53" man="1"/>
    <brk id="47" max="53" man="1"/>
    <brk id="51" max="53" man="1"/>
  </rowBreaks>
  <legacyDrawing r:id="rId2"/>
</worksheet>
</file>

<file path=xl/worksheets/sheet2.xml><?xml version="1.0" encoding="utf-8"?>
<worksheet xmlns="http://schemas.openxmlformats.org/spreadsheetml/2006/main" xmlns:r="http://schemas.openxmlformats.org/officeDocument/2006/relationships">
  <dimension ref="A1:BA11"/>
  <sheetViews>
    <sheetView tabSelected="1" view="pageBreakPreview" zoomScaleNormal="100" zoomScaleSheetLayoutView="100" workbookViewId="0">
      <selection activeCell="C27" sqref="C27"/>
    </sheetView>
  </sheetViews>
  <sheetFormatPr defaultRowHeight="15"/>
  <cols>
    <col min="1" max="1" width="45.7109375" style="974" customWidth="1"/>
    <col min="2" max="2" width="10.7109375" style="974" customWidth="1"/>
    <col min="3" max="3" width="45.7109375" style="974" customWidth="1"/>
    <col min="4" max="5" width="14.7109375" style="974" customWidth="1"/>
    <col min="6" max="6" width="10.7109375" style="974" customWidth="1"/>
    <col min="7" max="7" width="14.7109375" style="974" customWidth="1"/>
    <col min="8" max="8" width="23.7109375" style="974" customWidth="1"/>
    <col min="9" max="9" width="15.7109375" style="974" customWidth="1"/>
    <col min="10" max="51" width="20.7109375" style="974" customWidth="1"/>
    <col min="52" max="16384" width="9.140625" style="974"/>
  </cols>
  <sheetData>
    <row r="1" spans="1:53" s="969" customFormat="1" ht="12.75" customHeight="1">
      <c r="A1" s="1028" t="s">
        <v>341</v>
      </c>
      <c r="B1" s="1028" t="s">
        <v>0</v>
      </c>
      <c r="C1" s="1028" t="s">
        <v>400</v>
      </c>
      <c r="D1" s="1028" t="s">
        <v>280</v>
      </c>
      <c r="E1" s="1028"/>
      <c r="F1" s="1028" t="s">
        <v>22</v>
      </c>
      <c r="G1" s="1028" t="s">
        <v>211</v>
      </c>
      <c r="H1" s="1028" t="s">
        <v>730</v>
      </c>
      <c r="I1" s="1028" t="s">
        <v>282</v>
      </c>
      <c r="J1" s="1029" t="s">
        <v>28</v>
      </c>
      <c r="K1" s="1029"/>
      <c r="L1" s="1029"/>
      <c r="M1" s="1029"/>
      <c r="N1" s="1029"/>
      <c r="O1" s="1030"/>
      <c r="P1" s="1029" t="s">
        <v>28</v>
      </c>
      <c r="Q1" s="1029"/>
      <c r="R1" s="1029"/>
      <c r="S1" s="1029"/>
      <c r="T1" s="1029"/>
      <c r="U1" s="1030"/>
      <c r="V1" s="1029" t="s">
        <v>28</v>
      </c>
      <c r="W1" s="1029"/>
      <c r="X1" s="1029"/>
      <c r="Y1" s="1029"/>
      <c r="Z1" s="1029"/>
      <c r="AA1" s="1030"/>
      <c r="AB1" s="1029" t="s">
        <v>28</v>
      </c>
      <c r="AC1" s="1029"/>
      <c r="AD1" s="1029"/>
      <c r="AE1" s="1029"/>
      <c r="AF1" s="1029"/>
      <c r="AG1" s="1030"/>
      <c r="AH1" s="1029" t="s">
        <v>28</v>
      </c>
      <c r="AI1" s="1029"/>
      <c r="AJ1" s="1029"/>
      <c r="AK1" s="1029"/>
      <c r="AL1" s="1029"/>
      <c r="AM1" s="1030"/>
      <c r="AN1" s="1029" t="s">
        <v>28</v>
      </c>
      <c r="AO1" s="1029"/>
      <c r="AP1" s="1029"/>
      <c r="AQ1" s="1029"/>
      <c r="AR1" s="1029"/>
      <c r="AS1" s="1030"/>
      <c r="AT1" s="1029" t="s">
        <v>28</v>
      </c>
      <c r="AU1" s="1029"/>
      <c r="AV1" s="1029"/>
      <c r="AW1" s="1029"/>
      <c r="AX1" s="1029"/>
      <c r="AY1" s="1030"/>
    </row>
    <row r="2" spans="1:53" s="969" customFormat="1" ht="24" customHeight="1">
      <c r="A2" s="1028"/>
      <c r="B2" s="1028"/>
      <c r="C2" s="1028"/>
      <c r="D2" s="1028" t="s">
        <v>52</v>
      </c>
      <c r="E2" s="1028" t="s">
        <v>6</v>
      </c>
      <c r="F2" s="1028"/>
      <c r="G2" s="1028"/>
      <c r="H2" s="1028"/>
      <c r="I2" s="1028"/>
      <c r="J2" s="1028">
        <v>2013</v>
      </c>
      <c r="K2" s="1028"/>
      <c r="L2" s="1028"/>
      <c r="M2" s="1028"/>
      <c r="N2" s="1028"/>
      <c r="O2" s="1031"/>
      <c r="P2" s="1028">
        <v>2014</v>
      </c>
      <c r="Q2" s="1028"/>
      <c r="R2" s="1028"/>
      <c r="S2" s="1028"/>
      <c r="T2" s="1028"/>
      <c r="U2" s="1031"/>
      <c r="V2" s="1028">
        <v>2015</v>
      </c>
      <c r="W2" s="1028"/>
      <c r="X2" s="1028"/>
      <c r="Y2" s="1028"/>
      <c r="Z2" s="1028"/>
      <c r="AA2" s="1031"/>
      <c r="AB2" s="1028">
        <v>2016</v>
      </c>
      <c r="AC2" s="1028"/>
      <c r="AD2" s="1028"/>
      <c r="AE2" s="1028"/>
      <c r="AF2" s="1028"/>
      <c r="AG2" s="1031"/>
      <c r="AH2" s="1028" t="s">
        <v>752</v>
      </c>
      <c r="AI2" s="1028"/>
      <c r="AJ2" s="1028"/>
      <c r="AK2" s="1028"/>
      <c r="AL2" s="1028"/>
      <c r="AM2" s="1031"/>
      <c r="AN2" s="1028" t="s">
        <v>749</v>
      </c>
      <c r="AO2" s="1028"/>
      <c r="AP2" s="1028"/>
      <c r="AQ2" s="1028"/>
      <c r="AR2" s="1028"/>
      <c r="AS2" s="1031"/>
      <c r="AT2" s="1028" t="s">
        <v>750</v>
      </c>
      <c r="AU2" s="1028"/>
      <c r="AV2" s="1028"/>
      <c r="AW2" s="1028"/>
      <c r="AX2" s="1028"/>
      <c r="AY2" s="1031"/>
      <c r="AZ2" s="968"/>
      <c r="BA2" s="968"/>
    </row>
    <row r="3" spans="1:53" s="969" customFormat="1" ht="33" customHeight="1">
      <c r="A3" s="1028"/>
      <c r="B3" s="1028"/>
      <c r="C3" s="1028"/>
      <c r="D3" s="1028"/>
      <c r="E3" s="1028"/>
      <c r="F3" s="1028"/>
      <c r="G3" s="1028"/>
      <c r="H3" s="1028"/>
      <c r="I3" s="1028"/>
      <c r="J3" s="988" t="s">
        <v>1</v>
      </c>
      <c r="K3" s="988" t="s">
        <v>9</v>
      </c>
      <c r="L3" s="988" t="s">
        <v>3</v>
      </c>
      <c r="M3" s="988" t="s">
        <v>17</v>
      </c>
      <c r="N3" s="988" t="s">
        <v>19</v>
      </c>
      <c r="O3" s="988" t="s">
        <v>4</v>
      </c>
      <c r="P3" s="988" t="s">
        <v>1</v>
      </c>
      <c r="Q3" s="988" t="s">
        <v>9</v>
      </c>
      <c r="R3" s="988" t="s">
        <v>3</v>
      </c>
      <c r="S3" s="988" t="s">
        <v>17</v>
      </c>
      <c r="T3" s="988" t="s">
        <v>19</v>
      </c>
      <c r="U3" s="988" t="s">
        <v>4</v>
      </c>
      <c r="V3" s="988" t="s">
        <v>1</v>
      </c>
      <c r="W3" s="988" t="s">
        <v>9</v>
      </c>
      <c r="X3" s="988" t="s">
        <v>3</v>
      </c>
      <c r="Y3" s="988" t="s">
        <v>17</v>
      </c>
      <c r="Z3" s="988" t="s">
        <v>19</v>
      </c>
      <c r="AA3" s="988" t="s">
        <v>4</v>
      </c>
      <c r="AB3" s="988" t="s">
        <v>1</v>
      </c>
      <c r="AC3" s="988" t="s">
        <v>9</v>
      </c>
      <c r="AD3" s="988" t="s">
        <v>748</v>
      </c>
      <c r="AE3" s="988" t="s">
        <v>17</v>
      </c>
      <c r="AF3" s="988" t="s">
        <v>19</v>
      </c>
      <c r="AG3" s="988" t="s">
        <v>4</v>
      </c>
      <c r="AH3" s="988" t="s">
        <v>1</v>
      </c>
      <c r="AI3" s="988" t="s">
        <v>9</v>
      </c>
      <c r="AJ3" s="988" t="s">
        <v>3</v>
      </c>
      <c r="AK3" s="988" t="s">
        <v>17</v>
      </c>
      <c r="AL3" s="988" t="s">
        <v>19</v>
      </c>
      <c r="AM3" s="988" t="s">
        <v>18</v>
      </c>
      <c r="AN3" s="988" t="s">
        <v>1</v>
      </c>
      <c r="AO3" s="988" t="s">
        <v>9</v>
      </c>
      <c r="AP3" s="988" t="s">
        <v>3</v>
      </c>
      <c r="AQ3" s="988" t="s">
        <v>17</v>
      </c>
      <c r="AR3" s="988" t="s">
        <v>19</v>
      </c>
      <c r="AS3" s="988" t="s">
        <v>4</v>
      </c>
      <c r="AT3" s="988" t="s">
        <v>1</v>
      </c>
      <c r="AU3" s="988" t="s">
        <v>9</v>
      </c>
      <c r="AV3" s="988" t="s">
        <v>3</v>
      </c>
      <c r="AW3" s="988" t="s">
        <v>17</v>
      </c>
      <c r="AX3" s="988" t="s">
        <v>19</v>
      </c>
      <c r="AY3" s="988" t="s">
        <v>18</v>
      </c>
      <c r="AZ3" s="968"/>
      <c r="BA3" s="968"/>
    </row>
    <row r="4" spans="1:53" s="970" customFormat="1" ht="12.75">
      <c r="A4" s="979" t="s">
        <v>33</v>
      </c>
      <c r="B4" s="979" t="s">
        <v>34</v>
      </c>
      <c r="C4" s="979" t="s">
        <v>45</v>
      </c>
      <c r="D4" s="979" t="s">
        <v>35</v>
      </c>
      <c r="E4" s="979" t="s">
        <v>36</v>
      </c>
      <c r="F4" s="979" t="s">
        <v>37</v>
      </c>
      <c r="G4" s="979" t="s">
        <v>38</v>
      </c>
      <c r="H4" s="979" t="s">
        <v>39</v>
      </c>
      <c r="I4" s="979" t="s">
        <v>40</v>
      </c>
      <c r="J4" s="979" t="s">
        <v>41</v>
      </c>
      <c r="K4" s="980" t="s">
        <v>221</v>
      </c>
      <c r="L4" s="980" t="s">
        <v>222</v>
      </c>
      <c r="M4" s="980" t="s">
        <v>223</v>
      </c>
      <c r="N4" s="980" t="s">
        <v>224</v>
      </c>
      <c r="O4" s="980" t="s">
        <v>225</v>
      </c>
      <c r="P4" s="980" t="s">
        <v>226</v>
      </c>
      <c r="Q4" s="980" t="s">
        <v>227</v>
      </c>
      <c r="R4" s="980" t="s">
        <v>286</v>
      </c>
      <c r="S4" s="980" t="s">
        <v>229</v>
      </c>
      <c r="T4" s="980" t="s">
        <v>230</v>
      </c>
      <c r="U4" s="980" t="s">
        <v>231</v>
      </c>
      <c r="V4" s="980" t="s">
        <v>232</v>
      </c>
      <c r="W4" s="980" t="s">
        <v>233</v>
      </c>
      <c r="X4" s="980" t="s">
        <v>234</v>
      </c>
      <c r="Y4" s="980" t="s">
        <v>235</v>
      </c>
      <c r="Z4" s="980" t="s">
        <v>236</v>
      </c>
      <c r="AA4" s="980" t="s">
        <v>237</v>
      </c>
      <c r="AB4" s="980" t="s">
        <v>238</v>
      </c>
      <c r="AC4" s="980" t="s">
        <v>239</v>
      </c>
      <c r="AD4" s="980" t="s">
        <v>240</v>
      </c>
      <c r="AE4" s="980" t="s">
        <v>241</v>
      </c>
      <c r="AF4" s="980" t="s">
        <v>242</v>
      </c>
      <c r="AG4" s="980" t="s">
        <v>243</v>
      </c>
      <c r="AH4" s="980" t="s">
        <v>731</v>
      </c>
      <c r="AI4" s="980" t="s">
        <v>732</v>
      </c>
      <c r="AJ4" s="980" t="s">
        <v>733</v>
      </c>
      <c r="AK4" s="980" t="s">
        <v>734</v>
      </c>
      <c r="AL4" s="980" t="s">
        <v>735</v>
      </c>
      <c r="AM4" s="980" t="s">
        <v>736</v>
      </c>
      <c r="AN4" s="980" t="s">
        <v>737</v>
      </c>
      <c r="AO4" s="980" t="s">
        <v>738</v>
      </c>
      <c r="AP4" s="980" t="s">
        <v>739</v>
      </c>
      <c r="AQ4" s="980" t="s">
        <v>740</v>
      </c>
      <c r="AR4" s="980" t="s">
        <v>741</v>
      </c>
      <c r="AS4" s="980" t="s">
        <v>742</v>
      </c>
      <c r="AT4" s="980" t="s">
        <v>743</v>
      </c>
      <c r="AU4" s="980" t="s">
        <v>744</v>
      </c>
      <c r="AV4" s="980" t="s">
        <v>745</v>
      </c>
      <c r="AW4" s="980" t="s">
        <v>747</v>
      </c>
      <c r="AX4" s="980" t="s">
        <v>746</v>
      </c>
      <c r="AY4" s="987" t="s">
        <v>753</v>
      </c>
      <c r="AZ4" s="986"/>
      <c r="BA4" s="986"/>
    </row>
    <row r="5" spans="1:53" s="969" customFormat="1" ht="12.75" customHeight="1">
      <c r="A5" s="971" t="s">
        <v>397</v>
      </c>
      <c r="B5" s="971"/>
      <c r="C5" s="971"/>
      <c r="D5" s="971"/>
      <c r="E5" s="971"/>
      <c r="F5" s="971"/>
      <c r="G5" s="971"/>
      <c r="H5" s="971"/>
      <c r="I5" s="971"/>
      <c r="J5" s="981"/>
      <c r="K5" s="981"/>
      <c r="L5" s="981"/>
      <c r="M5" s="981"/>
      <c r="N5" s="981"/>
      <c r="O5" s="982"/>
      <c r="P5" s="982"/>
      <c r="Q5" s="982"/>
      <c r="R5" s="982"/>
      <c r="S5" s="982"/>
      <c r="T5" s="982"/>
      <c r="U5" s="982"/>
      <c r="V5" s="982"/>
      <c r="W5" s="982"/>
      <c r="X5" s="982"/>
      <c r="Y5" s="982"/>
      <c r="Z5" s="982"/>
      <c r="AA5" s="982"/>
      <c r="AB5" s="982"/>
      <c r="AC5" s="982"/>
      <c r="AD5" s="982"/>
      <c r="AE5" s="982"/>
      <c r="AF5" s="982"/>
      <c r="AG5" s="982"/>
      <c r="AH5" s="982"/>
      <c r="AI5" s="982"/>
      <c r="AJ5" s="982"/>
      <c r="AK5" s="982"/>
      <c r="AL5" s="982"/>
      <c r="AM5" s="982"/>
      <c r="AN5" s="982"/>
      <c r="AO5" s="982"/>
      <c r="AP5" s="982"/>
      <c r="AQ5" s="982"/>
      <c r="AR5" s="982"/>
      <c r="AS5" s="982"/>
      <c r="AT5" s="982"/>
      <c r="AU5" s="982"/>
      <c r="AV5" s="982"/>
      <c r="AW5" s="982"/>
      <c r="AX5" s="982"/>
      <c r="AY5" s="982"/>
      <c r="AZ5" s="968"/>
      <c r="BA5" s="968"/>
    </row>
    <row r="6" spans="1:53" s="969" customFormat="1" ht="12.75">
      <c r="A6" s="971" t="s">
        <v>401</v>
      </c>
      <c r="B6" s="978"/>
      <c r="C6" s="978"/>
      <c r="D6" s="978"/>
      <c r="E6" s="978"/>
      <c r="F6" s="978"/>
      <c r="G6" s="978"/>
      <c r="H6" s="971"/>
      <c r="I6" s="971"/>
      <c r="J6" s="981"/>
      <c r="K6" s="981"/>
      <c r="L6" s="981"/>
      <c r="M6" s="981"/>
      <c r="N6" s="981"/>
      <c r="O6" s="982"/>
      <c r="P6" s="982"/>
      <c r="Q6" s="982"/>
      <c r="R6" s="982"/>
      <c r="S6" s="982"/>
      <c r="T6" s="982"/>
      <c r="U6" s="982"/>
      <c r="V6" s="982"/>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68"/>
      <c r="BA6" s="968"/>
    </row>
    <row r="7" spans="1:53" s="969" customFormat="1" ht="38.25">
      <c r="A7" s="971" t="s">
        <v>402</v>
      </c>
      <c r="B7" s="978"/>
      <c r="C7" s="978"/>
      <c r="D7" s="978"/>
      <c r="E7" s="978"/>
      <c r="F7" s="992"/>
      <c r="G7" s="992"/>
      <c r="H7" s="991"/>
      <c r="I7" s="971"/>
      <c r="J7" s="981"/>
      <c r="K7" s="981"/>
      <c r="L7" s="981"/>
      <c r="M7" s="981"/>
      <c r="N7" s="981"/>
      <c r="O7" s="982"/>
      <c r="P7" s="982"/>
      <c r="Q7" s="982"/>
      <c r="R7" s="982"/>
      <c r="S7" s="982"/>
      <c r="T7" s="982"/>
      <c r="U7" s="982"/>
      <c r="V7" s="982"/>
      <c r="W7" s="982"/>
      <c r="X7" s="982"/>
      <c r="Y7" s="982"/>
      <c r="Z7" s="982"/>
      <c r="AA7" s="982"/>
      <c r="AB7" s="982"/>
      <c r="AC7" s="982"/>
      <c r="AD7" s="982"/>
      <c r="AE7" s="982"/>
      <c r="AF7" s="982"/>
      <c r="AG7" s="982"/>
      <c r="AH7" s="982"/>
      <c r="AI7" s="982"/>
      <c r="AJ7" s="982"/>
      <c r="AK7" s="982"/>
      <c r="AL7" s="982"/>
      <c r="AM7" s="982"/>
      <c r="AN7" s="982"/>
      <c r="AO7" s="982"/>
      <c r="AP7" s="982"/>
      <c r="AQ7" s="982"/>
      <c r="AR7" s="982"/>
      <c r="AS7" s="982"/>
      <c r="AT7" s="982"/>
      <c r="AU7" s="982"/>
      <c r="AV7" s="982"/>
      <c r="AW7" s="982"/>
      <c r="AX7" s="982"/>
      <c r="AY7" s="982"/>
    </row>
    <row r="8" spans="1:53" s="969" customFormat="1" ht="25.5">
      <c r="A8" s="971" t="s">
        <v>403</v>
      </c>
      <c r="B8" s="971"/>
      <c r="C8" s="971"/>
      <c r="D8" s="971"/>
      <c r="E8" s="971"/>
      <c r="F8" s="991"/>
      <c r="G8" s="991"/>
      <c r="H8" s="991"/>
      <c r="I8" s="971"/>
      <c r="J8" s="981"/>
      <c r="K8" s="981"/>
      <c r="L8" s="981"/>
      <c r="M8" s="981"/>
      <c r="N8" s="981"/>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2"/>
      <c r="AY8" s="982"/>
    </row>
    <row r="9" spans="1:53" s="969" customFormat="1" ht="25.5">
      <c r="A9" s="971" t="s">
        <v>754</v>
      </c>
      <c r="B9" s="973" t="s">
        <v>653</v>
      </c>
      <c r="C9" s="973" t="s">
        <v>405</v>
      </c>
      <c r="D9" s="973" t="s">
        <v>80</v>
      </c>
      <c r="E9" s="973"/>
      <c r="F9" s="993">
        <v>7</v>
      </c>
      <c r="G9" s="993">
        <v>5</v>
      </c>
      <c r="H9" s="989" t="s">
        <v>751</v>
      </c>
      <c r="I9" s="972"/>
      <c r="J9" s="983">
        <v>138000</v>
      </c>
      <c r="K9" s="983"/>
      <c r="L9" s="983"/>
      <c r="M9" s="983"/>
      <c r="N9" s="983"/>
      <c r="O9" s="984">
        <f>SUM(J9:N9)</f>
        <v>138000</v>
      </c>
      <c r="P9" s="983">
        <v>244568</v>
      </c>
      <c r="Q9" s="984"/>
      <c r="R9" s="984"/>
      <c r="S9" s="984"/>
      <c r="T9" s="984"/>
      <c r="U9" s="984">
        <f>SUM(P9:T9)</f>
        <v>244568</v>
      </c>
      <c r="V9" s="983">
        <v>654613</v>
      </c>
      <c r="W9" s="984"/>
      <c r="X9" s="984"/>
      <c r="Y9" s="984"/>
      <c r="Z9" s="984"/>
      <c r="AA9" s="984">
        <f>SUM(V9:Z9)</f>
        <v>654613</v>
      </c>
      <c r="AB9" s="983">
        <v>1039000</v>
      </c>
      <c r="AC9" s="984"/>
      <c r="AD9" s="984"/>
      <c r="AE9" s="984"/>
      <c r="AF9" s="984"/>
      <c r="AG9" s="984">
        <f>SUM(AB9:AF9)</f>
        <v>1039000</v>
      </c>
      <c r="AH9" s="984">
        <f>AB9+V9+P9+J9</f>
        <v>2076181</v>
      </c>
      <c r="AI9" s="984"/>
      <c r="AJ9" s="984"/>
      <c r="AK9" s="984"/>
      <c r="AL9" s="984"/>
      <c r="AM9" s="984">
        <f>SUM(AH9:AL9)</f>
        <v>2076181</v>
      </c>
      <c r="AN9" s="984"/>
      <c r="AO9" s="984"/>
      <c r="AP9" s="984"/>
      <c r="AQ9" s="984"/>
      <c r="AR9" s="984"/>
      <c r="AS9" s="984"/>
      <c r="AT9" s="984">
        <f>AN9+AH9</f>
        <v>2076181</v>
      </c>
      <c r="AU9" s="984"/>
      <c r="AV9" s="984"/>
      <c r="AW9" s="984"/>
      <c r="AX9" s="984"/>
      <c r="AY9" s="984">
        <f>SUM(AT9:AX9)</f>
        <v>2076181</v>
      </c>
      <c r="AZ9" s="968"/>
      <c r="BA9" s="968"/>
    </row>
    <row r="10" spans="1:53" s="970" customFormat="1" ht="12.75">
      <c r="A10" s="975" t="s">
        <v>276</v>
      </c>
      <c r="B10" s="975"/>
      <c r="C10" s="975"/>
      <c r="D10" s="975"/>
      <c r="E10" s="975"/>
      <c r="F10" s="990"/>
      <c r="G10" s="990"/>
      <c r="H10" s="990"/>
      <c r="I10" s="975"/>
      <c r="J10" s="985">
        <f>SUM(J9)</f>
        <v>138000</v>
      </c>
      <c r="K10" s="985">
        <f t="shared" ref="K10:AY10" si="0">SUM(K9)</f>
        <v>0</v>
      </c>
      <c r="L10" s="985">
        <f t="shared" si="0"/>
        <v>0</v>
      </c>
      <c r="M10" s="985">
        <f t="shared" si="0"/>
        <v>0</v>
      </c>
      <c r="N10" s="985">
        <f t="shared" si="0"/>
        <v>0</v>
      </c>
      <c r="O10" s="985">
        <f t="shared" si="0"/>
        <v>138000</v>
      </c>
      <c r="P10" s="985">
        <f t="shared" si="0"/>
        <v>244568</v>
      </c>
      <c r="Q10" s="985">
        <f t="shared" si="0"/>
        <v>0</v>
      </c>
      <c r="R10" s="985">
        <f t="shared" si="0"/>
        <v>0</v>
      </c>
      <c r="S10" s="985">
        <f t="shared" si="0"/>
        <v>0</v>
      </c>
      <c r="T10" s="985">
        <f t="shared" si="0"/>
        <v>0</v>
      </c>
      <c r="U10" s="985">
        <f t="shared" si="0"/>
        <v>244568</v>
      </c>
      <c r="V10" s="985">
        <f t="shared" si="0"/>
        <v>654613</v>
      </c>
      <c r="W10" s="985">
        <f t="shared" si="0"/>
        <v>0</v>
      </c>
      <c r="X10" s="985">
        <f t="shared" si="0"/>
        <v>0</v>
      </c>
      <c r="Y10" s="985">
        <f t="shared" si="0"/>
        <v>0</v>
      </c>
      <c r="Z10" s="985">
        <f t="shared" si="0"/>
        <v>0</v>
      </c>
      <c r="AA10" s="985">
        <f t="shared" si="0"/>
        <v>654613</v>
      </c>
      <c r="AB10" s="985">
        <f t="shared" si="0"/>
        <v>1039000</v>
      </c>
      <c r="AC10" s="985">
        <f t="shared" si="0"/>
        <v>0</v>
      </c>
      <c r="AD10" s="985">
        <f t="shared" si="0"/>
        <v>0</v>
      </c>
      <c r="AE10" s="985">
        <f t="shared" si="0"/>
        <v>0</v>
      </c>
      <c r="AF10" s="985">
        <f t="shared" si="0"/>
        <v>0</v>
      </c>
      <c r="AG10" s="985">
        <f t="shared" si="0"/>
        <v>1039000</v>
      </c>
      <c r="AH10" s="985">
        <f t="shared" si="0"/>
        <v>2076181</v>
      </c>
      <c r="AI10" s="985">
        <f t="shared" si="0"/>
        <v>0</v>
      </c>
      <c r="AJ10" s="985">
        <f t="shared" si="0"/>
        <v>0</v>
      </c>
      <c r="AK10" s="985">
        <f t="shared" si="0"/>
        <v>0</v>
      </c>
      <c r="AL10" s="985">
        <f t="shared" si="0"/>
        <v>0</v>
      </c>
      <c r="AM10" s="985">
        <f t="shared" si="0"/>
        <v>2076181</v>
      </c>
      <c r="AN10" s="985">
        <f t="shared" si="0"/>
        <v>0</v>
      </c>
      <c r="AO10" s="985">
        <f t="shared" si="0"/>
        <v>0</v>
      </c>
      <c r="AP10" s="985">
        <f t="shared" si="0"/>
        <v>0</v>
      </c>
      <c r="AQ10" s="985">
        <f t="shared" si="0"/>
        <v>0</v>
      </c>
      <c r="AR10" s="985">
        <f t="shared" si="0"/>
        <v>0</v>
      </c>
      <c r="AS10" s="985">
        <f t="shared" si="0"/>
        <v>0</v>
      </c>
      <c r="AT10" s="985">
        <f t="shared" si="0"/>
        <v>2076181</v>
      </c>
      <c r="AU10" s="985">
        <f t="shared" si="0"/>
        <v>0</v>
      </c>
      <c r="AV10" s="985">
        <f t="shared" si="0"/>
        <v>0</v>
      </c>
      <c r="AW10" s="985">
        <f t="shared" si="0"/>
        <v>0</v>
      </c>
      <c r="AX10" s="985">
        <f t="shared" si="0"/>
        <v>0</v>
      </c>
      <c r="AY10" s="985">
        <f t="shared" si="0"/>
        <v>2076181</v>
      </c>
      <c r="AZ10" s="976"/>
      <c r="BA10" s="976"/>
    </row>
    <row r="11" spans="1:53">
      <c r="AT11" s="994"/>
      <c r="AZ11" s="977"/>
      <c r="BA11" s="977"/>
    </row>
  </sheetData>
  <mergeCells count="24">
    <mergeCell ref="AT1:AY1"/>
    <mergeCell ref="AT2:AY2"/>
    <mergeCell ref="V1:AA1"/>
    <mergeCell ref="V2:AA2"/>
    <mergeCell ref="AB1:AG1"/>
    <mergeCell ref="AB2:AG2"/>
    <mergeCell ref="AH1:AM1"/>
    <mergeCell ref="AH2:AM2"/>
    <mergeCell ref="P2:U2"/>
    <mergeCell ref="P1:U1"/>
    <mergeCell ref="I1:I3"/>
    <mergeCell ref="H1:H3"/>
    <mergeCell ref="AN1:AS1"/>
    <mergeCell ref="AN2:AS2"/>
    <mergeCell ref="A1:A3"/>
    <mergeCell ref="B1:B3"/>
    <mergeCell ref="C1:C3"/>
    <mergeCell ref="J1:O1"/>
    <mergeCell ref="J2:O2"/>
    <mergeCell ref="F1:F3"/>
    <mergeCell ref="G1:G3"/>
    <mergeCell ref="D1:E1"/>
    <mergeCell ref="D2:D3"/>
    <mergeCell ref="E2:E3"/>
  </mergeCells>
  <printOptions horizontalCentered="1"/>
  <pageMargins left="0.33" right="0.36" top="1.25" bottom="0.75" header="0.3" footer="0.3"/>
  <pageSetup paperSize="9" scale="71" pageOrder="overThenDown" orientation="landscape" r:id="rId1"/>
  <headerFooter>
    <oddHeader>&amp;C&amp;"Arial,Bold"&amp;12Chapter 7: Good Governance and the Rule of Law
Annex B: List of Strategic Core Investment Programs and Projects (CIPs) with Annual Investment Targets By Source of Financing</oddHeader>
    <oddFooter>&amp;C&amp;"Arial,Bold"&amp;12 2011-2016 Revalidated Public Investment Program &amp;R&amp;"Arial,Regular"&amp;10Page &amp;P of &amp;N</oddFooter>
  </headerFooter>
  <colBreaks count="7" manualBreakCount="7">
    <brk id="9" max="1048575" man="1"/>
    <brk id="15" max="1048575" man="1"/>
    <brk id="21" max="1048575" man="1"/>
    <brk id="27" max="1048575" man="1"/>
    <brk id="33" max="1048575" man="1"/>
    <brk id="39" max="1048575" man="1"/>
    <brk id="45" max="1048575" man="1"/>
  </colBreaks>
</worksheet>
</file>

<file path=xl/worksheets/sheet3.xml><?xml version="1.0" encoding="utf-8"?>
<worksheet xmlns="http://schemas.openxmlformats.org/spreadsheetml/2006/main" xmlns:r="http://schemas.openxmlformats.org/officeDocument/2006/relationships">
  <dimension ref="A1:AM34"/>
  <sheetViews>
    <sheetView zoomScale="58" zoomScaleNormal="58" zoomScalePageLayoutView="75" workbookViewId="0">
      <selection activeCell="AL54" sqref="AL54"/>
    </sheetView>
  </sheetViews>
  <sheetFormatPr defaultRowHeight="15"/>
  <cols>
    <col min="1" max="1" width="31.5703125" customWidth="1"/>
    <col min="2" max="2" width="17.5703125" customWidth="1"/>
    <col min="3" max="3" width="15.85546875" customWidth="1"/>
    <col min="4" max="4" width="9.28515625" customWidth="1"/>
    <col min="5" max="5" width="8.85546875" customWidth="1"/>
    <col min="6" max="6" width="8.7109375" customWidth="1"/>
    <col min="10" max="10" width="9.42578125" customWidth="1"/>
    <col min="20" max="20" width="9.140625" customWidth="1"/>
    <col min="21" max="21" width="15.85546875" customWidth="1"/>
    <col min="39" max="39" width="18.42578125" customWidth="1"/>
  </cols>
  <sheetData>
    <row r="1" spans="1:39" ht="42.75" customHeight="1">
      <c r="A1" s="1034" t="s">
        <v>677</v>
      </c>
      <c r="B1" s="1036" t="s">
        <v>676</v>
      </c>
      <c r="C1" s="1036" t="s">
        <v>280</v>
      </c>
      <c r="D1" s="1038" t="s">
        <v>675</v>
      </c>
      <c r="E1" s="1039"/>
      <c r="F1" s="1039"/>
      <c r="G1" s="1039"/>
      <c r="H1" s="1039"/>
      <c r="I1" s="1039"/>
      <c r="J1" s="1040"/>
      <c r="K1" s="1041" t="s">
        <v>675</v>
      </c>
      <c r="L1" s="1042"/>
      <c r="M1" s="1042"/>
      <c r="N1" s="1042"/>
      <c r="O1" s="1042"/>
      <c r="P1" s="1042"/>
      <c r="Q1" s="1042"/>
      <c r="R1" s="1042"/>
      <c r="S1" s="1042"/>
      <c r="T1" s="1043"/>
      <c r="U1" s="306"/>
      <c r="V1" s="1044" t="s">
        <v>674</v>
      </c>
      <c r="W1" s="1045"/>
      <c r="X1" s="1045"/>
      <c r="Y1" s="1045"/>
      <c r="Z1" s="1046" t="s">
        <v>673</v>
      </c>
      <c r="AA1" s="1039"/>
      <c r="AB1" s="1039"/>
      <c r="AC1" s="1039"/>
      <c r="AD1" s="1039"/>
      <c r="AE1" s="1039"/>
      <c r="AF1" s="1039"/>
      <c r="AG1" s="1039"/>
      <c r="AH1" s="1039"/>
      <c r="AI1" s="1039"/>
      <c r="AJ1" s="1039"/>
      <c r="AK1" s="1039"/>
      <c r="AL1" s="1040"/>
      <c r="AM1" s="1032" t="s">
        <v>672</v>
      </c>
    </row>
    <row r="2" spans="1:39">
      <c r="A2" s="1035"/>
      <c r="B2" s="1037"/>
      <c r="C2" s="1037"/>
      <c r="D2" s="305" t="s">
        <v>671</v>
      </c>
      <c r="E2" s="305" t="s">
        <v>670</v>
      </c>
      <c r="F2" s="305" t="s">
        <v>669</v>
      </c>
      <c r="G2" s="305" t="s">
        <v>668</v>
      </c>
      <c r="H2" s="305" t="s">
        <v>667</v>
      </c>
      <c r="I2" s="305" t="s">
        <v>666</v>
      </c>
      <c r="J2" s="305" t="s">
        <v>665</v>
      </c>
      <c r="K2" s="305" t="s">
        <v>664</v>
      </c>
      <c r="L2" s="305" t="s">
        <v>663</v>
      </c>
      <c r="M2" s="305" t="s">
        <v>662</v>
      </c>
      <c r="N2" s="305" t="s">
        <v>661</v>
      </c>
      <c r="O2" s="305" t="s">
        <v>660</v>
      </c>
      <c r="P2" s="305" t="s">
        <v>659</v>
      </c>
      <c r="Q2" s="305" t="s">
        <v>658</v>
      </c>
      <c r="R2" s="305" t="s">
        <v>657</v>
      </c>
      <c r="S2" s="305" t="s">
        <v>656</v>
      </c>
      <c r="T2" s="305" t="s">
        <v>655</v>
      </c>
      <c r="U2" s="305" t="s">
        <v>80</v>
      </c>
      <c r="V2" s="304" t="s">
        <v>671</v>
      </c>
      <c r="W2" s="304" t="s">
        <v>670</v>
      </c>
      <c r="X2" s="304" t="s">
        <v>669</v>
      </c>
      <c r="Y2" s="304" t="s">
        <v>668</v>
      </c>
      <c r="Z2" s="304" t="s">
        <v>667</v>
      </c>
      <c r="AA2" s="304" t="s">
        <v>666</v>
      </c>
      <c r="AB2" s="304" t="s">
        <v>665</v>
      </c>
      <c r="AC2" s="304" t="s">
        <v>664</v>
      </c>
      <c r="AD2" s="304" t="s">
        <v>663</v>
      </c>
      <c r="AE2" s="304" t="s">
        <v>662</v>
      </c>
      <c r="AF2" s="304" t="s">
        <v>661</v>
      </c>
      <c r="AG2" s="304" t="s">
        <v>660</v>
      </c>
      <c r="AH2" s="304" t="s">
        <v>659</v>
      </c>
      <c r="AI2" s="304" t="s">
        <v>658</v>
      </c>
      <c r="AJ2" s="304" t="s">
        <v>657</v>
      </c>
      <c r="AK2" s="304" t="s">
        <v>656</v>
      </c>
      <c r="AL2" s="304" t="s">
        <v>655</v>
      </c>
      <c r="AM2" s="1033"/>
    </row>
    <row r="3" spans="1:39" ht="25.5">
      <c r="A3" s="303" t="s">
        <v>654</v>
      </c>
      <c r="B3" s="302" t="s">
        <v>653</v>
      </c>
      <c r="C3" s="302" t="s">
        <v>80</v>
      </c>
      <c r="D3" s="299"/>
      <c r="E3" s="299"/>
      <c r="F3" s="299"/>
      <c r="G3" s="299"/>
      <c r="H3" s="299"/>
      <c r="I3" s="299"/>
      <c r="J3" s="299"/>
      <c r="K3" s="299"/>
      <c r="L3" s="299"/>
      <c r="M3" s="299"/>
      <c r="N3" s="299"/>
      <c r="O3" s="299"/>
      <c r="P3" s="299"/>
      <c r="Q3" s="299"/>
      <c r="R3" s="299"/>
      <c r="S3" s="299"/>
      <c r="T3" s="299"/>
      <c r="U3" s="301">
        <v>2076181</v>
      </c>
      <c r="V3" s="298"/>
      <c r="W3" s="298"/>
      <c r="X3" s="298"/>
      <c r="Y3" s="298"/>
      <c r="Z3" s="298"/>
      <c r="AA3" s="298"/>
      <c r="AB3" s="298"/>
      <c r="AC3" s="298"/>
      <c r="AD3" s="298"/>
      <c r="AE3" s="298"/>
      <c r="AF3" s="298"/>
      <c r="AG3" s="298"/>
      <c r="AH3" s="298"/>
      <c r="AI3" s="298"/>
      <c r="AJ3" s="298"/>
      <c r="AK3" s="298"/>
      <c r="AL3" s="298"/>
      <c r="AM3" s="246"/>
    </row>
    <row r="4" spans="1:39">
      <c r="A4" s="300" t="s">
        <v>652</v>
      </c>
      <c r="B4" s="298"/>
      <c r="C4" s="298"/>
      <c r="D4" s="299"/>
      <c r="E4" s="299"/>
      <c r="F4" s="299"/>
      <c r="G4" s="299"/>
      <c r="H4" s="299"/>
      <c r="I4" s="299"/>
      <c r="J4" s="299"/>
      <c r="K4" s="299"/>
      <c r="L4" s="299"/>
      <c r="M4" s="299"/>
      <c r="N4" s="299"/>
      <c r="O4" s="299"/>
      <c r="P4" s="299"/>
      <c r="Q4" s="299"/>
      <c r="R4" s="299"/>
      <c r="S4" s="299"/>
      <c r="T4" s="299"/>
      <c r="U4" s="299"/>
      <c r="V4" s="298"/>
      <c r="W4" s="298"/>
      <c r="X4" s="298"/>
      <c r="Y4" s="298"/>
      <c r="Z4" s="298"/>
      <c r="AA4" s="298"/>
      <c r="AB4" s="298"/>
      <c r="AC4" s="298"/>
      <c r="AD4" s="298"/>
      <c r="AE4" s="298"/>
      <c r="AF4" s="298"/>
      <c r="AG4" s="298"/>
      <c r="AH4" s="298"/>
      <c r="AI4" s="298"/>
      <c r="AJ4" s="298"/>
      <c r="AK4" s="298"/>
      <c r="AL4" s="298"/>
      <c r="AM4" s="246"/>
    </row>
    <row r="5" spans="1:39">
      <c r="A5" s="300" t="s">
        <v>651</v>
      </c>
      <c r="B5" s="298"/>
      <c r="C5" s="298"/>
      <c r="D5" s="299"/>
      <c r="E5" s="299"/>
      <c r="F5" s="299"/>
      <c r="G5" s="299"/>
      <c r="H5" s="299"/>
      <c r="I5" s="299"/>
      <c r="J5" s="299"/>
      <c r="K5" s="299"/>
      <c r="L5" s="299"/>
      <c r="M5" s="299"/>
      <c r="N5" s="299"/>
      <c r="O5" s="299"/>
      <c r="P5" s="299"/>
      <c r="Q5" s="299"/>
      <c r="R5" s="299"/>
      <c r="S5" s="299"/>
      <c r="T5" s="299"/>
      <c r="U5" s="299"/>
      <c r="V5" s="298"/>
      <c r="W5" s="298"/>
      <c r="X5" s="298"/>
      <c r="Y5" s="298"/>
      <c r="Z5" s="298"/>
      <c r="AA5" s="298"/>
      <c r="AB5" s="298"/>
      <c r="AC5" s="298"/>
      <c r="AD5" s="298"/>
      <c r="AE5" s="298"/>
      <c r="AF5" s="298"/>
      <c r="AG5" s="298"/>
      <c r="AH5" s="298"/>
      <c r="AI5" s="298"/>
      <c r="AJ5" s="298"/>
      <c r="AK5" s="298"/>
      <c r="AL5" s="298"/>
      <c r="AM5" s="246"/>
    </row>
    <row r="6" spans="1:39">
      <c r="A6" s="300" t="s">
        <v>650</v>
      </c>
      <c r="B6" s="298"/>
      <c r="C6" s="298"/>
      <c r="D6" s="299"/>
      <c r="E6" s="299"/>
      <c r="F6" s="299"/>
      <c r="G6" s="299"/>
      <c r="H6" s="299"/>
      <c r="I6" s="299"/>
      <c r="J6" s="299"/>
      <c r="K6" s="299"/>
      <c r="L6" s="299"/>
      <c r="M6" s="299"/>
      <c r="N6" s="299"/>
      <c r="O6" s="299"/>
      <c r="P6" s="299"/>
      <c r="Q6" s="299"/>
      <c r="R6" s="299"/>
      <c r="S6" s="299"/>
      <c r="T6" s="299"/>
      <c r="U6" s="299"/>
      <c r="V6" s="298"/>
      <c r="W6" s="298"/>
      <c r="X6" s="298"/>
      <c r="Y6" s="298"/>
      <c r="Z6" s="298"/>
      <c r="AA6" s="298"/>
      <c r="AB6" s="298"/>
      <c r="AC6" s="298"/>
      <c r="AD6" s="298"/>
      <c r="AE6" s="298"/>
      <c r="AF6" s="298"/>
      <c r="AG6" s="298"/>
      <c r="AH6" s="298"/>
      <c r="AI6" s="298"/>
      <c r="AJ6" s="298"/>
      <c r="AK6" s="298"/>
      <c r="AL6" s="298"/>
      <c r="AM6" s="246"/>
    </row>
    <row r="7" spans="1:39">
      <c r="A7" s="300" t="s">
        <v>649</v>
      </c>
      <c r="B7" s="298"/>
      <c r="C7" s="298"/>
      <c r="D7" s="299"/>
      <c r="E7" s="299"/>
      <c r="F7" s="299"/>
      <c r="G7" s="299"/>
      <c r="H7" s="299"/>
      <c r="I7" s="299"/>
      <c r="J7" s="299"/>
      <c r="K7" s="299"/>
      <c r="L7" s="299"/>
      <c r="M7" s="299"/>
      <c r="N7" s="299"/>
      <c r="O7" s="299"/>
      <c r="P7" s="299"/>
      <c r="Q7" s="299"/>
      <c r="R7" s="299"/>
      <c r="S7" s="299"/>
      <c r="T7" s="299"/>
      <c r="U7" s="299"/>
      <c r="V7" s="298"/>
      <c r="W7" s="298"/>
      <c r="X7" s="298"/>
      <c r="Y7" s="298"/>
      <c r="Z7" s="298"/>
      <c r="AA7" s="298"/>
      <c r="AB7" s="298"/>
      <c r="AC7" s="298"/>
      <c r="AD7" s="298"/>
      <c r="AE7" s="298"/>
      <c r="AF7" s="298"/>
      <c r="AG7" s="298"/>
      <c r="AH7" s="298"/>
      <c r="AI7" s="298"/>
      <c r="AJ7" s="298"/>
      <c r="AK7" s="298"/>
      <c r="AL7" s="298"/>
      <c r="AM7" s="246"/>
    </row>
    <row r="8" spans="1:39">
      <c r="A8" s="300" t="s">
        <v>648</v>
      </c>
      <c r="B8" s="298"/>
      <c r="C8" s="298"/>
      <c r="D8" s="299"/>
      <c r="E8" s="299"/>
      <c r="F8" s="299"/>
      <c r="G8" s="299"/>
      <c r="H8" s="299"/>
      <c r="I8" s="299"/>
      <c r="J8" s="299"/>
      <c r="K8" s="299"/>
      <c r="L8" s="299"/>
      <c r="M8" s="299"/>
      <c r="N8" s="299"/>
      <c r="O8" s="299"/>
      <c r="P8" s="299"/>
      <c r="Q8" s="299"/>
      <c r="R8" s="299"/>
      <c r="S8" s="299"/>
      <c r="T8" s="299"/>
      <c r="U8" s="299"/>
      <c r="V8" s="298"/>
      <c r="W8" s="298"/>
      <c r="X8" s="298"/>
      <c r="Y8" s="298"/>
      <c r="Z8" s="298"/>
      <c r="AA8" s="298"/>
      <c r="AB8" s="298"/>
      <c r="AC8" s="298"/>
      <c r="AD8" s="298"/>
      <c r="AE8" s="298"/>
      <c r="AF8" s="298"/>
      <c r="AG8" s="298"/>
      <c r="AH8" s="298"/>
      <c r="AI8" s="298"/>
      <c r="AJ8" s="298"/>
      <c r="AK8" s="298"/>
      <c r="AL8" s="298"/>
      <c r="AM8" s="246"/>
    </row>
    <row r="9" spans="1:39">
      <c r="A9" s="300" t="s">
        <v>647</v>
      </c>
      <c r="B9" s="298"/>
      <c r="C9" s="298"/>
      <c r="D9" s="299"/>
      <c r="E9" s="299"/>
      <c r="F9" s="299"/>
      <c r="G9" s="299"/>
      <c r="H9" s="299"/>
      <c r="I9" s="299"/>
      <c r="J9" s="299"/>
      <c r="K9" s="299"/>
      <c r="L9" s="299"/>
      <c r="M9" s="299"/>
      <c r="N9" s="299"/>
      <c r="O9" s="299"/>
      <c r="P9" s="299"/>
      <c r="Q9" s="299"/>
      <c r="R9" s="299"/>
      <c r="S9" s="299"/>
      <c r="T9" s="299"/>
      <c r="U9" s="299"/>
      <c r="V9" s="298"/>
      <c r="W9" s="298"/>
      <c r="X9" s="298"/>
      <c r="Y9" s="298"/>
      <c r="Z9" s="298"/>
      <c r="AA9" s="298"/>
      <c r="AB9" s="298"/>
      <c r="AC9" s="298"/>
      <c r="AD9" s="298"/>
      <c r="AE9" s="298"/>
      <c r="AF9" s="298"/>
      <c r="AG9" s="298"/>
      <c r="AH9" s="298"/>
      <c r="AI9" s="298"/>
      <c r="AJ9" s="298"/>
      <c r="AK9" s="298"/>
      <c r="AL9" s="298"/>
      <c r="AM9" s="246"/>
    </row>
    <row r="10" spans="1:39">
      <c r="A10" s="300" t="s">
        <v>646</v>
      </c>
      <c r="B10" s="298"/>
      <c r="C10" s="298"/>
      <c r="D10" s="299"/>
      <c r="E10" s="299"/>
      <c r="F10" s="299"/>
      <c r="G10" s="299"/>
      <c r="H10" s="299"/>
      <c r="I10" s="299"/>
      <c r="J10" s="299"/>
      <c r="K10" s="299"/>
      <c r="L10" s="299"/>
      <c r="M10" s="299"/>
      <c r="N10" s="299"/>
      <c r="O10" s="299"/>
      <c r="P10" s="299"/>
      <c r="Q10" s="299"/>
      <c r="R10" s="299"/>
      <c r="S10" s="299"/>
      <c r="T10" s="299"/>
      <c r="U10" s="299"/>
      <c r="V10" s="298"/>
      <c r="W10" s="298"/>
      <c r="X10" s="298"/>
      <c r="Y10" s="298"/>
      <c r="Z10" s="298"/>
      <c r="AA10" s="298"/>
      <c r="AB10" s="298"/>
      <c r="AC10" s="298"/>
      <c r="AD10" s="298"/>
      <c r="AE10" s="298"/>
      <c r="AF10" s="298"/>
      <c r="AG10" s="298"/>
      <c r="AH10" s="298"/>
      <c r="AI10" s="298"/>
      <c r="AJ10" s="298"/>
      <c r="AK10" s="298"/>
      <c r="AL10" s="298"/>
      <c r="AM10" s="246"/>
    </row>
    <row r="11" spans="1:39">
      <c r="A11" s="300" t="s">
        <v>645</v>
      </c>
      <c r="B11" s="298"/>
      <c r="C11" s="298"/>
      <c r="D11" s="299"/>
      <c r="E11" s="299"/>
      <c r="F11" s="299"/>
      <c r="G11" s="299"/>
      <c r="H11" s="299"/>
      <c r="I11" s="299"/>
      <c r="J11" s="299"/>
      <c r="K11" s="299"/>
      <c r="L11" s="299"/>
      <c r="M11" s="299"/>
      <c r="N11" s="299"/>
      <c r="O11" s="299"/>
      <c r="P11" s="299"/>
      <c r="Q11" s="299"/>
      <c r="R11" s="299"/>
      <c r="S11" s="299"/>
      <c r="T11" s="299"/>
      <c r="U11" s="299"/>
      <c r="V11" s="298"/>
      <c r="W11" s="298"/>
      <c r="X11" s="298"/>
      <c r="Y11" s="298"/>
      <c r="Z11" s="298"/>
      <c r="AA11" s="298"/>
      <c r="AB11" s="298"/>
      <c r="AC11" s="298"/>
      <c r="AD11" s="298"/>
      <c r="AE11" s="298"/>
      <c r="AF11" s="298"/>
      <c r="AG11" s="298"/>
      <c r="AH11" s="298"/>
      <c r="AI11" s="298"/>
      <c r="AJ11" s="298"/>
      <c r="AK11" s="298"/>
      <c r="AL11" s="298"/>
      <c r="AM11" s="246"/>
    </row>
    <row r="12" spans="1:39">
      <c r="A12" s="300" t="s">
        <v>644</v>
      </c>
      <c r="B12" s="298"/>
      <c r="C12" s="298"/>
      <c r="D12" s="299"/>
      <c r="E12" s="299"/>
      <c r="F12" s="299"/>
      <c r="G12" s="299"/>
      <c r="H12" s="299"/>
      <c r="I12" s="299"/>
      <c r="J12" s="299"/>
      <c r="K12" s="299"/>
      <c r="L12" s="299"/>
      <c r="M12" s="299"/>
      <c r="N12" s="299"/>
      <c r="O12" s="299"/>
      <c r="P12" s="299"/>
      <c r="Q12" s="299"/>
      <c r="R12" s="299"/>
      <c r="S12" s="299"/>
      <c r="T12" s="299"/>
      <c r="U12" s="299"/>
      <c r="V12" s="298"/>
      <c r="W12" s="298"/>
      <c r="X12" s="298"/>
      <c r="Y12" s="298"/>
      <c r="Z12" s="298"/>
      <c r="AA12" s="298"/>
      <c r="AB12" s="298"/>
      <c r="AC12" s="298"/>
      <c r="AD12" s="298"/>
      <c r="AE12" s="298"/>
      <c r="AF12" s="298"/>
      <c r="AG12" s="298"/>
      <c r="AH12" s="298"/>
      <c r="AI12" s="298"/>
      <c r="AJ12" s="298"/>
      <c r="AK12" s="298"/>
      <c r="AL12" s="298"/>
      <c r="AM12" s="246"/>
    </row>
    <row r="13" spans="1:39">
      <c r="A13" s="300" t="s">
        <v>643</v>
      </c>
      <c r="B13" s="298"/>
      <c r="C13" s="298"/>
      <c r="D13" s="299"/>
      <c r="E13" s="299"/>
      <c r="F13" s="299"/>
      <c r="G13" s="299"/>
      <c r="H13" s="299"/>
      <c r="I13" s="299"/>
      <c r="J13" s="299"/>
      <c r="K13" s="299"/>
      <c r="L13" s="299"/>
      <c r="M13" s="299"/>
      <c r="N13" s="299"/>
      <c r="O13" s="299"/>
      <c r="P13" s="299"/>
      <c r="Q13" s="299"/>
      <c r="R13" s="299"/>
      <c r="S13" s="299"/>
      <c r="T13" s="299"/>
      <c r="U13" s="299"/>
      <c r="V13" s="298"/>
      <c r="W13" s="298"/>
      <c r="X13" s="298"/>
      <c r="Y13" s="298"/>
      <c r="Z13" s="298"/>
      <c r="AA13" s="298"/>
      <c r="AB13" s="298"/>
      <c r="AC13" s="298"/>
      <c r="AD13" s="298"/>
      <c r="AE13" s="298"/>
      <c r="AF13" s="298"/>
      <c r="AG13" s="298"/>
      <c r="AH13" s="298"/>
      <c r="AI13" s="298"/>
      <c r="AJ13" s="298"/>
      <c r="AK13" s="298"/>
      <c r="AL13" s="298"/>
      <c r="AM13" s="246"/>
    </row>
    <row r="14" spans="1:39">
      <c r="A14" s="300" t="s">
        <v>642</v>
      </c>
      <c r="B14" s="298"/>
      <c r="C14" s="298"/>
      <c r="D14" s="299"/>
      <c r="E14" s="299"/>
      <c r="F14" s="299"/>
      <c r="G14" s="299"/>
      <c r="H14" s="299"/>
      <c r="I14" s="299"/>
      <c r="J14" s="299"/>
      <c r="K14" s="299"/>
      <c r="L14" s="299"/>
      <c r="M14" s="299"/>
      <c r="N14" s="299"/>
      <c r="O14" s="299"/>
      <c r="P14" s="299"/>
      <c r="Q14" s="299"/>
      <c r="R14" s="299"/>
      <c r="S14" s="299"/>
      <c r="T14" s="299"/>
      <c r="U14" s="299"/>
      <c r="V14" s="298"/>
      <c r="W14" s="298"/>
      <c r="X14" s="298"/>
      <c r="Y14" s="298"/>
      <c r="Z14" s="298"/>
      <c r="AA14" s="298"/>
      <c r="AB14" s="298"/>
      <c r="AC14" s="298"/>
      <c r="AD14" s="298"/>
      <c r="AE14" s="298"/>
      <c r="AF14" s="298"/>
      <c r="AG14" s="298"/>
      <c r="AH14" s="298"/>
      <c r="AI14" s="298"/>
      <c r="AJ14" s="298"/>
      <c r="AK14" s="298"/>
      <c r="AL14" s="298"/>
      <c r="AM14" s="246"/>
    </row>
    <row r="15" spans="1:39">
      <c r="A15" s="300" t="s">
        <v>641</v>
      </c>
      <c r="B15" s="298"/>
      <c r="C15" s="298"/>
      <c r="D15" s="299"/>
      <c r="E15" s="299"/>
      <c r="F15" s="299"/>
      <c r="G15" s="299"/>
      <c r="H15" s="299"/>
      <c r="I15" s="299"/>
      <c r="J15" s="299"/>
      <c r="K15" s="299"/>
      <c r="L15" s="299"/>
      <c r="M15" s="299"/>
      <c r="N15" s="299"/>
      <c r="O15" s="299"/>
      <c r="P15" s="299"/>
      <c r="Q15" s="299"/>
      <c r="R15" s="299"/>
      <c r="S15" s="299"/>
      <c r="T15" s="299"/>
      <c r="U15" s="299"/>
      <c r="V15" s="298"/>
      <c r="W15" s="298"/>
      <c r="X15" s="298"/>
      <c r="Y15" s="298"/>
      <c r="Z15" s="298"/>
      <c r="AA15" s="298"/>
      <c r="AB15" s="298"/>
      <c r="AC15" s="298"/>
      <c r="AD15" s="298"/>
      <c r="AE15" s="298"/>
      <c r="AF15" s="298"/>
      <c r="AG15" s="298"/>
      <c r="AH15" s="298"/>
      <c r="AI15" s="298"/>
      <c r="AJ15" s="298"/>
      <c r="AK15" s="298"/>
      <c r="AL15" s="298"/>
      <c r="AM15" s="246"/>
    </row>
    <row r="16" spans="1:39">
      <c r="A16" s="300" t="s">
        <v>640</v>
      </c>
      <c r="B16" s="298"/>
      <c r="C16" s="298"/>
      <c r="D16" s="299"/>
      <c r="E16" s="299"/>
      <c r="F16" s="299"/>
      <c r="G16" s="299"/>
      <c r="H16" s="299"/>
      <c r="I16" s="299"/>
      <c r="J16" s="299"/>
      <c r="K16" s="299"/>
      <c r="L16" s="299"/>
      <c r="M16" s="299"/>
      <c r="N16" s="299"/>
      <c r="O16" s="299"/>
      <c r="P16" s="299"/>
      <c r="Q16" s="299"/>
      <c r="R16" s="299"/>
      <c r="S16" s="299"/>
      <c r="T16" s="299"/>
      <c r="U16" s="299"/>
      <c r="V16" s="298"/>
      <c r="W16" s="298"/>
      <c r="X16" s="298"/>
      <c r="Y16" s="298"/>
      <c r="Z16" s="298"/>
      <c r="AA16" s="298"/>
      <c r="AB16" s="298"/>
      <c r="AC16" s="298"/>
      <c r="AD16" s="298"/>
      <c r="AE16" s="298"/>
      <c r="AF16" s="298"/>
      <c r="AG16" s="298"/>
      <c r="AH16" s="298"/>
      <c r="AI16" s="298"/>
      <c r="AJ16" s="298"/>
      <c r="AK16" s="298"/>
      <c r="AL16" s="298"/>
      <c r="AM16" s="246"/>
    </row>
    <row r="17" spans="1:39">
      <c r="A17" s="300" t="s">
        <v>639</v>
      </c>
      <c r="B17" s="298"/>
      <c r="C17" s="298"/>
      <c r="D17" s="299"/>
      <c r="E17" s="299"/>
      <c r="F17" s="299"/>
      <c r="G17" s="299"/>
      <c r="H17" s="299"/>
      <c r="I17" s="299"/>
      <c r="J17" s="299"/>
      <c r="K17" s="299"/>
      <c r="L17" s="299"/>
      <c r="M17" s="299"/>
      <c r="N17" s="299"/>
      <c r="O17" s="299"/>
      <c r="P17" s="299"/>
      <c r="Q17" s="299"/>
      <c r="R17" s="299"/>
      <c r="S17" s="299"/>
      <c r="T17" s="299"/>
      <c r="U17" s="299"/>
      <c r="V17" s="298"/>
      <c r="W17" s="298"/>
      <c r="X17" s="298"/>
      <c r="Y17" s="298"/>
      <c r="Z17" s="298"/>
      <c r="AA17" s="298"/>
      <c r="AB17" s="298"/>
      <c r="AC17" s="298"/>
      <c r="AD17" s="298"/>
      <c r="AE17" s="298"/>
      <c r="AF17" s="298"/>
      <c r="AG17" s="298"/>
      <c r="AH17" s="298"/>
      <c r="AI17" s="298"/>
      <c r="AJ17" s="298"/>
      <c r="AK17" s="298"/>
      <c r="AL17" s="298"/>
      <c r="AM17" s="246"/>
    </row>
    <row r="18" spans="1:39">
      <c r="A18" s="300" t="s">
        <v>638</v>
      </c>
      <c r="B18" s="298"/>
      <c r="C18" s="298"/>
      <c r="D18" s="299"/>
      <c r="E18" s="299"/>
      <c r="F18" s="299"/>
      <c r="G18" s="299"/>
      <c r="H18" s="299"/>
      <c r="I18" s="299"/>
      <c r="J18" s="299"/>
      <c r="K18" s="299"/>
      <c r="L18" s="299"/>
      <c r="M18" s="299"/>
      <c r="N18" s="299"/>
      <c r="O18" s="299"/>
      <c r="P18" s="299"/>
      <c r="Q18" s="299"/>
      <c r="R18" s="299"/>
      <c r="S18" s="299"/>
      <c r="T18" s="299"/>
      <c r="U18" s="299"/>
      <c r="V18" s="298"/>
      <c r="W18" s="298"/>
      <c r="X18" s="298"/>
      <c r="Y18" s="298"/>
      <c r="Z18" s="298"/>
      <c r="AA18" s="298"/>
      <c r="AB18" s="298"/>
      <c r="AC18" s="298"/>
      <c r="AD18" s="298"/>
      <c r="AE18" s="298"/>
      <c r="AF18" s="298"/>
      <c r="AG18" s="298"/>
      <c r="AH18" s="298"/>
      <c r="AI18" s="298"/>
      <c r="AJ18" s="298"/>
      <c r="AK18" s="298"/>
      <c r="AL18" s="298"/>
      <c r="AM18" s="246"/>
    </row>
    <row r="19" spans="1:39">
      <c r="A19" s="300" t="s">
        <v>637</v>
      </c>
      <c r="B19" s="298"/>
      <c r="C19" s="298"/>
      <c r="D19" s="299"/>
      <c r="E19" s="299"/>
      <c r="F19" s="299"/>
      <c r="G19" s="299"/>
      <c r="H19" s="299"/>
      <c r="I19" s="299"/>
      <c r="J19" s="299"/>
      <c r="K19" s="299"/>
      <c r="L19" s="299"/>
      <c r="M19" s="299"/>
      <c r="N19" s="299"/>
      <c r="O19" s="299"/>
      <c r="P19" s="299"/>
      <c r="Q19" s="299"/>
      <c r="R19" s="299"/>
      <c r="S19" s="299"/>
      <c r="T19" s="299"/>
      <c r="U19" s="299"/>
      <c r="V19" s="298"/>
      <c r="W19" s="298"/>
      <c r="X19" s="298"/>
      <c r="Y19" s="298"/>
      <c r="Z19" s="298"/>
      <c r="AA19" s="298"/>
      <c r="AB19" s="298"/>
      <c r="AC19" s="298"/>
      <c r="AD19" s="298"/>
      <c r="AE19" s="298"/>
      <c r="AF19" s="298"/>
      <c r="AG19" s="298"/>
      <c r="AH19" s="298"/>
      <c r="AI19" s="298"/>
      <c r="AJ19" s="298"/>
      <c r="AK19" s="298"/>
      <c r="AL19" s="298"/>
      <c r="AM19" s="246"/>
    </row>
    <row r="20" spans="1:39">
      <c r="A20" s="300" t="s">
        <v>636</v>
      </c>
      <c r="B20" s="298"/>
      <c r="C20" s="298"/>
      <c r="D20" s="299"/>
      <c r="E20" s="299"/>
      <c r="F20" s="299"/>
      <c r="G20" s="299"/>
      <c r="H20" s="299"/>
      <c r="I20" s="299"/>
      <c r="J20" s="299"/>
      <c r="K20" s="299"/>
      <c r="L20" s="299"/>
      <c r="M20" s="299"/>
      <c r="N20" s="299"/>
      <c r="O20" s="299"/>
      <c r="P20" s="299"/>
      <c r="Q20" s="299"/>
      <c r="R20" s="299"/>
      <c r="S20" s="299"/>
      <c r="T20" s="299"/>
      <c r="U20" s="299"/>
      <c r="V20" s="298"/>
      <c r="W20" s="298"/>
      <c r="X20" s="298"/>
      <c r="Y20" s="298"/>
      <c r="Z20" s="298"/>
      <c r="AA20" s="298"/>
      <c r="AB20" s="298"/>
      <c r="AC20" s="298"/>
      <c r="AD20" s="298"/>
      <c r="AE20" s="298"/>
      <c r="AF20" s="298"/>
      <c r="AG20" s="298"/>
      <c r="AH20" s="298"/>
      <c r="AI20" s="298"/>
      <c r="AJ20" s="298"/>
      <c r="AK20" s="298"/>
      <c r="AL20" s="298"/>
      <c r="AM20" s="246"/>
    </row>
    <row r="21" spans="1:39">
      <c r="A21" s="300" t="s">
        <v>635</v>
      </c>
      <c r="B21" s="298"/>
      <c r="C21" s="298"/>
      <c r="D21" s="299"/>
      <c r="E21" s="299"/>
      <c r="F21" s="299"/>
      <c r="G21" s="299"/>
      <c r="H21" s="299"/>
      <c r="I21" s="299"/>
      <c r="J21" s="299"/>
      <c r="K21" s="299"/>
      <c r="L21" s="299"/>
      <c r="M21" s="299"/>
      <c r="N21" s="299"/>
      <c r="O21" s="299"/>
      <c r="P21" s="299"/>
      <c r="Q21" s="299"/>
      <c r="R21" s="299"/>
      <c r="S21" s="299"/>
      <c r="T21" s="299"/>
      <c r="U21" s="299"/>
      <c r="V21" s="298"/>
      <c r="W21" s="298"/>
      <c r="X21" s="298"/>
      <c r="Y21" s="298"/>
      <c r="Z21" s="298"/>
      <c r="AA21" s="298"/>
      <c r="AB21" s="298"/>
      <c r="AC21" s="298"/>
      <c r="AD21" s="298"/>
      <c r="AE21" s="298"/>
      <c r="AF21" s="298"/>
      <c r="AG21" s="298"/>
      <c r="AH21" s="298"/>
      <c r="AI21" s="298"/>
      <c r="AJ21" s="298"/>
      <c r="AK21" s="298"/>
      <c r="AL21" s="298"/>
      <c r="AM21" s="246"/>
    </row>
    <row r="22" spans="1:39">
      <c r="A22" s="300" t="s">
        <v>634</v>
      </c>
      <c r="B22" s="298"/>
      <c r="C22" s="298"/>
      <c r="D22" s="299"/>
      <c r="E22" s="299"/>
      <c r="F22" s="299"/>
      <c r="G22" s="299"/>
      <c r="H22" s="299"/>
      <c r="I22" s="299"/>
      <c r="J22" s="299"/>
      <c r="K22" s="299"/>
      <c r="L22" s="299"/>
      <c r="M22" s="299"/>
      <c r="N22" s="299"/>
      <c r="O22" s="299"/>
      <c r="P22" s="299"/>
      <c r="Q22" s="299"/>
      <c r="R22" s="299"/>
      <c r="S22" s="299"/>
      <c r="T22" s="299"/>
      <c r="U22" s="299"/>
      <c r="V22" s="298"/>
      <c r="W22" s="298"/>
      <c r="X22" s="298"/>
      <c r="Y22" s="298"/>
      <c r="Z22" s="298"/>
      <c r="AA22" s="298"/>
      <c r="AB22" s="298"/>
      <c r="AC22" s="298"/>
      <c r="AD22" s="298"/>
      <c r="AE22" s="298"/>
      <c r="AF22" s="298"/>
      <c r="AG22" s="298"/>
      <c r="AH22" s="298"/>
      <c r="AI22" s="298"/>
      <c r="AJ22" s="298"/>
      <c r="AK22" s="298"/>
      <c r="AL22" s="298"/>
      <c r="AM22" s="246"/>
    </row>
    <row r="23" spans="1:39">
      <c r="A23" s="300" t="s">
        <v>633</v>
      </c>
      <c r="B23" s="298"/>
      <c r="C23" s="298"/>
      <c r="D23" s="299"/>
      <c r="E23" s="299"/>
      <c r="F23" s="299"/>
      <c r="G23" s="299"/>
      <c r="H23" s="299"/>
      <c r="I23" s="299"/>
      <c r="J23" s="299"/>
      <c r="K23" s="299"/>
      <c r="L23" s="299"/>
      <c r="M23" s="299"/>
      <c r="N23" s="299"/>
      <c r="O23" s="299"/>
      <c r="P23" s="299"/>
      <c r="Q23" s="299"/>
      <c r="R23" s="299"/>
      <c r="S23" s="299"/>
      <c r="T23" s="299"/>
      <c r="U23" s="299"/>
      <c r="V23" s="298"/>
      <c r="W23" s="298"/>
      <c r="X23" s="298"/>
      <c r="Y23" s="298"/>
      <c r="Z23" s="298"/>
      <c r="AA23" s="298"/>
      <c r="AB23" s="298"/>
      <c r="AC23" s="298"/>
      <c r="AD23" s="298"/>
      <c r="AE23" s="298"/>
      <c r="AF23" s="298"/>
      <c r="AG23" s="298"/>
      <c r="AH23" s="298"/>
      <c r="AI23" s="298"/>
      <c r="AJ23" s="298"/>
      <c r="AK23" s="298"/>
      <c r="AL23" s="298"/>
      <c r="AM23" s="246"/>
    </row>
    <row r="24" spans="1:39">
      <c r="A24" s="300" t="s">
        <v>632</v>
      </c>
      <c r="B24" s="298"/>
      <c r="C24" s="298"/>
      <c r="D24" s="299"/>
      <c r="E24" s="299"/>
      <c r="F24" s="299"/>
      <c r="G24" s="299"/>
      <c r="H24" s="299"/>
      <c r="I24" s="299"/>
      <c r="J24" s="299"/>
      <c r="K24" s="299"/>
      <c r="L24" s="299"/>
      <c r="M24" s="299"/>
      <c r="N24" s="299"/>
      <c r="O24" s="299"/>
      <c r="P24" s="299"/>
      <c r="Q24" s="299"/>
      <c r="R24" s="299"/>
      <c r="S24" s="299"/>
      <c r="T24" s="299"/>
      <c r="U24" s="299"/>
      <c r="V24" s="298"/>
      <c r="W24" s="298"/>
      <c r="X24" s="298"/>
      <c r="Y24" s="298"/>
      <c r="Z24" s="298"/>
      <c r="AA24" s="298"/>
      <c r="AB24" s="298"/>
      <c r="AC24" s="298"/>
      <c r="AD24" s="298"/>
      <c r="AE24" s="298"/>
      <c r="AF24" s="298"/>
      <c r="AG24" s="298"/>
      <c r="AH24" s="298"/>
      <c r="AI24" s="298"/>
      <c r="AJ24" s="298"/>
      <c r="AK24" s="298"/>
      <c r="AL24" s="298"/>
      <c r="AM24" s="246"/>
    </row>
    <row r="25" spans="1:39">
      <c r="A25" s="300" t="s">
        <v>631</v>
      </c>
      <c r="B25" s="298"/>
      <c r="C25" s="298"/>
      <c r="D25" s="299"/>
      <c r="E25" s="299"/>
      <c r="F25" s="299"/>
      <c r="G25" s="299"/>
      <c r="H25" s="299"/>
      <c r="I25" s="299"/>
      <c r="J25" s="299"/>
      <c r="K25" s="299"/>
      <c r="L25" s="299"/>
      <c r="M25" s="299"/>
      <c r="N25" s="299"/>
      <c r="O25" s="299"/>
      <c r="P25" s="299"/>
      <c r="Q25" s="299"/>
      <c r="R25" s="299"/>
      <c r="S25" s="299"/>
      <c r="T25" s="299"/>
      <c r="U25" s="299"/>
      <c r="V25" s="298"/>
      <c r="W25" s="298"/>
      <c r="X25" s="298"/>
      <c r="Y25" s="298"/>
      <c r="Z25" s="298"/>
      <c r="AA25" s="298"/>
      <c r="AB25" s="298"/>
      <c r="AC25" s="298"/>
      <c r="AD25" s="298"/>
      <c r="AE25" s="298"/>
      <c r="AF25" s="298"/>
      <c r="AG25" s="298"/>
      <c r="AH25" s="298"/>
      <c r="AI25" s="298"/>
      <c r="AJ25" s="298"/>
      <c r="AK25" s="298"/>
      <c r="AL25" s="298"/>
      <c r="AM25" s="246"/>
    </row>
    <row r="26" spans="1:39">
      <c r="A26" s="300" t="s">
        <v>630</v>
      </c>
      <c r="B26" s="298"/>
      <c r="C26" s="298"/>
      <c r="D26" s="299"/>
      <c r="E26" s="299"/>
      <c r="F26" s="299"/>
      <c r="G26" s="299"/>
      <c r="H26" s="299"/>
      <c r="I26" s="299"/>
      <c r="J26" s="299"/>
      <c r="K26" s="299"/>
      <c r="L26" s="299"/>
      <c r="M26" s="299"/>
      <c r="N26" s="299"/>
      <c r="O26" s="299"/>
      <c r="P26" s="299"/>
      <c r="Q26" s="299"/>
      <c r="R26" s="299"/>
      <c r="S26" s="299"/>
      <c r="T26" s="299"/>
      <c r="U26" s="299"/>
      <c r="V26" s="298"/>
      <c r="W26" s="298"/>
      <c r="X26" s="298"/>
      <c r="Y26" s="298"/>
      <c r="Z26" s="298"/>
      <c r="AA26" s="298"/>
      <c r="AB26" s="298"/>
      <c r="AC26" s="298"/>
      <c r="AD26" s="298"/>
      <c r="AE26" s="298"/>
      <c r="AF26" s="298"/>
      <c r="AG26" s="298"/>
      <c r="AH26" s="298"/>
      <c r="AI26" s="298"/>
      <c r="AJ26" s="298"/>
      <c r="AK26" s="298"/>
      <c r="AL26" s="298"/>
      <c r="AM26" s="246"/>
    </row>
    <row r="27" spans="1:39">
      <c r="A27" s="300" t="s">
        <v>629</v>
      </c>
      <c r="B27" s="298"/>
      <c r="C27" s="298"/>
      <c r="D27" s="299"/>
      <c r="E27" s="299"/>
      <c r="F27" s="299"/>
      <c r="G27" s="299"/>
      <c r="H27" s="299"/>
      <c r="I27" s="299"/>
      <c r="J27" s="299"/>
      <c r="K27" s="299"/>
      <c r="L27" s="299"/>
      <c r="M27" s="299"/>
      <c r="N27" s="299"/>
      <c r="O27" s="299"/>
      <c r="P27" s="299"/>
      <c r="Q27" s="299"/>
      <c r="R27" s="299"/>
      <c r="S27" s="299"/>
      <c r="T27" s="299"/>
      <c r="U27" s="299"/>
      <c r="V27" s="298"/>
      <c r="W27" s="298"/>
      <c r="X27" s="298"/>
      <c r="Y27" s="298"/>
      <c r="Z27" s="298"/>
      <c r="AA27" s="298"/>
      <c r="AB27" s="298"/>
      <c r="AC27" s="298"/>
      <c r="AD27" s="298"/>
      <c r="AE27" s="298"/>
      <c r="AF27" s="298"/>
      <c r="AG27" s="298"/>
      <c r="AH27" s="298"/>
      <c r="AI27" s="298"/>
      <c r="AJ27" s="298"/>
      <c r="AK27" s="298"/>
      <c r="AL27" s="298"/>
      <c r="AM27" s="246"/>
    </row>
    <row r="28" spans="1:39">
      <c r="A28" s="300" t="s">
        <v>628</v>
      </c>
      <c r="B28" s="298"/>
      <c r="C28" s="298"/>
      <c r="D28" s="299"/>
      <c r="E28" s="299"/>
      <c r="F28" s="299"/>
      <c r="G28" s="299"/>
      <c r="H28" s="299"/>
      <c r="I28" s="299"/>
      <c r="J28" s="299"/>
      <c r="K28" s="299"/>
      <c r="L28" s="299"/>
      <c r="M28" s="299"/>
      <c r="N28" s="299"/>
      <c r="O28" s="299"/>
      <c r="P28" s="299"/>
      <c r="Q28" s="299"/>
      <c r="R28" s="299"/>
      <c r="S28" s="299"/>
      <c r="T28" s="299"/>
      <c r="U28" s="299"/>
      <c r="V28" s="298"/>
      <c r="W28" s="298"/>
      <c r="X28" s="298"/>
      <c r="Y28" s="298"/>
      <c r="Z28" s="298"/>
      <c r="AA28" s="298"/>
      <c r="AB28" s="298"/>
      <c r="AC28" s="298"/>
      <c r="AD28" s="298"/>
      <c r="AE28" s="298"/>
      <c r="AF28" s="298"/>
      <c r="AG28" s="298"/>
      <c r="AH28" s="298"/>
      <c r="AI28" s="298"/>
      <c r="AJ28" s="298"/>
      <c r="AK28" s="298"/>
      <c r="AL28" s="298"/>
      <c r="AM28" s="246"/>
    </row>
    <row r="29" spans="1:39">
      <c r="A29" s="300" t="s">
        <v>627</v>
      </c>
      <c r="B29" s="298"/>
      <c r="C29" s="298"/>
      <c r="D29" s="299"/>
      <c r="E29" s="299"/>
      <c r="F29" s="299"/>
      <c r="G29" s="299"/>
      <c r="H29" s="299"/>
      <c r="I29" s="299"/>
      <c r="J29" s="299"/>
      <c r="K29" s="299"/>
      <c r="L29" s="299"/>
      <c r="M29" s="299"/>
      <c r="N29" s="299"/>
      <c r="O29" s="299"/>
      <c r="P29" s="299"/>
      <c r="Q29" s="299"/>
      <c r="R29" s="299"/>
      <c r="S29" s="299"/>
      <c r="T29" s="299"/>
      <c r="U29" s="299"/>
      <c r="V29" s="298"/>
      <c r="W29" s="298"/>
      <c r="X29" s="298"/>
      <c r="Y29" s="298"/>
      <c r="Z29" s="298"/>
      <c r="AA29" s="298"/>
      <c r="AB29" s="298"/>
      <c r="AC29" s="298"/>
      <c r="AD29" s="298"/>
      <c r="AE29" s="298"/>
      <c r="AF29" s="298"/>
      <c r="AG29" s="298"/>
      <c r="AH29" s="298"/>
      <c r="AI29" s="298"/>
      <c r="AJ29" s="298"/>
      <c r="AK29" s="298"/>
      <c r="AL29" s="298"/>
      <c r="AM29" s="246"/>
    </row>
    <row r="30" spans="1:39">
      <c r="A30" s="300" t="s">
        <v>626</v>
      </c>
      <c r="B30" s="298"/>
      <c r="C30" s="298"/>
      <c r="D30" s="299"/>
      <c r="E30" s="299"/>
      <c r="F30" s="299"/>
      <c r="G30" s="299"/>
      <c r="H30" s="299"/>
      <c r="I30" s="299"/>
      <c r="J30" s="299"/>
      <c r="K30" s="299"/>
      <c r="L30" s="299"/>
      <c r="M30" s="299"/>
      <c r="N30" s="299"/>
      <c r="O30" s="299"/>
      <c r="P30" s="299"/>
      <c r="Q30" s="299"/>
      <c r="R30" s="299"/>
      <c r="S30" s="299"/>
      <c r="T30" s="299"/>
      <c r="U30" s="299"/>
      <c r="V30" s="298"/>
      <c r="W30" s="298"/>
      <c r="X30" s="298"/>
      <c r="Y30" s="298"/>
      <c r="Z30" s="298"/>
      <c r="AA30" s="298"/>
      <c r="AB30" s="298"/>
      <c r="AC30" s="298"/>
      <c r="AD30" s="298"/>
      <c r="AE30" s="298"/>
      <c r="AF30" s="298"/>
      <c r="AG30" s="298"/>
      <c r="AH30" s="298"/>
      <c r="AI30" s="298"/>
      <c r="AJ30" s="298"/>
      <c r="AK30" s="298"/>
      <c r="AL30" s="298"/>
      <c r="AM30" s="246"/>
    </row>
    <row r="31" spans="1:39">
      <c r="A31" s="300" t="s">
        <v>625</v>
      </c>
      <c r="B31" s="298"/>
      <c r="C31" s="298"/>
      <c r="D31" s="299"/>
      <c r="E31" s="299"/>
      <c r="F31" s="299"/>
      <c r="G31" s="299"/>
      <c r="H31" s="299"/>
      <c r="I31" s="299"/>
      <c r="J31" s="299"/>
      <c r="K31" s="299"/>
      <c r="L31" s="299"/>
      <c r="M31" s="299"/>
      <c r="N31" s="299"/>
      <c r="O31" s="299"/>
      <c r="P31" s="299"/>
      <c r="Q31" s="299"/>
      <c r="R31" s="299"/>
      <c r="S31" s="299"/>
      <c r="T31" s="299"/>
      <c r="U31" s="299"/>
      <c r="V31" s="298"/>
      <c r="W31" s="298"/>
      <c r="X31" s="298"/>
      <c r="Y31" s="298"/>
      <c r="Z31" s="298"/>
      <c r="AA31" s="298"/>
      <c r="AB31" s="298"/>
      <c r="AC31" s="298"/>
      <c r="AD31" s="298"/>
      <c r="AE31" s="298"/>
      <c r="AF31" s="298"/>
      <c r="AG31" s="298"/>
      <c r="AH31" s="298"/>
      <c r="AI31" s="298"/>
      <c r="AJ31" s="298"/>
      <c r="AK31" s="298"/>
      <c r="AL31" s="298"/>
      <c r="AM31" s="246"/>
    </row>
    <row r="32" spans="1:39">
      <c r="A32" s="300" t="s">
        <v>624</v>
      </c>
      <c r="B32" s="298"/>
      <c r="C32" s="298"/>
      <c r="D32" s="299"/>
      <c r="E32" s="299"/>
      <c r="F32" s="299"/>
      <c r="G32" s="299"/>
      <c r="H32" s="299"/>
      <c r="I32" s="299"/>
      <c r="J32" s="299"/>
      <c r="K32" s="299"/>
      <c r="L32" s="299"/>
      <c r="M32" s="299"/>
      <c r="N32" s="299"/>
      <c r="O32" s="299"/>
      <c r="P32" s="299"/>
      <c r="Q32" s="299"/>
      <c r="R32" s="299"/>
      <c r="S32" s="299"/>
      <c r="T32" s="299"/>
      <c r="U32" s="299"/>
      <c r="V32" s="298"/>
      <c r="W32" s="298"/>
      <c r="X32" s="298"/>
      <c r="Y32" s="298"/>
      <c r="Z32" s="298"/>
      <c r="AA32" s="298"/>
      <c r="AB32" s="298"/>
      <c r="AC32" s="298"/>
      <c r="AD32" s="298"/>
      <c r="AE32" s="298"/>
      <c r="AF32" s="298"/>
      <c r="AG32" s="298"/>
      <c r="AH32" s="298"/>
      <c r="AI32" s="298"/>
      <c r="AJ32" s="298"/>
      <c r="AK32" s="298"/>
      <c r="AL32" s="298"/>
      <c r="AM32" s="246"/>
    </row>
    <row r="33" spans="1:39">
      <c r="A33" s="300" t="s">
        <v>623</v>
      </c>
      <c r="B33" s="298"/>
      <c r="C33" s="298"/>
      <c r="D33" s="299"/>
      <c r="E33" s="299"/>
      <c r="F33" s="299"/>
      <c r="G33" s="299"/>
      <c r="H33" s="299"/>
      <c r="I33" s="299"/>
      <c r="J33" s="299"/>
      <c r="K33" s="299"/>
      <c r="L33" s="299"/>
      <c r="M33" s="299"/>
      <c r="N33" s="299"/>
      <c r="O33" s="299"/>
      <c r="P33" s="299"/>
      <c r="Q33" s="299"/>
      <c r="R33" s="299"/>
      <c r="S33" s="299"/>
      <c r="T33" s="299"/>
      <c r="U33" s="299"/>
      <c r="V33" s="298"/>
      <c r="W33" s="298"/>
      <c r="X33" s="298"/>
      <c r="Y33" s="298"/>
      <c r="Z33" s="298"/>
      <c r="AA33" s="298"/>
      <c r="AB33" s="298"/>
      <c r="AC33" s="298"/>
      <c r="AD33" s="298"/>
      <c r="AE33" s="298"/>
      <c r="AF33" s="298"/>
      <c r="AG33" s="298"/>
      <c r="AH33" s="298"/>
      <c r="AI33" s="298"/>
      <c r="AJ33" s="298"/>
      <c r="AK33" s="298"/>
      <c r="AL33" s="298"/>
      <c r="AM33" s="246"/>
    </row>
    <row r="34" spans="1:39">
      <c r="A34" s="300" t="s">
        <v>622</v>
      </c>
      <c r="B34" s="298"/>
      <c r="C34" s="298"/>
      <c r="D34" s="299"/>
      <c r="E34" s="299"/>
      <c r="F34" s="299"/>
      <c r="G34" s="299"/>
      <c r="H34" s="299"/>
      <c r="I34" s="299"/>
      <c r="J34" s="299"/>
      <c r="K34" s="299"/>
      <c r="L34" s="299"/>
      <c r="M34" s="299"/>
      <c r="N34" s="299"/>
      <c r="O34" s="299"/>
      <c r="P34" s="299"/>
      <c r="Q34" s="299"/>
      <c r="R34" s="299"/>
      <c r="S34" s="299"/>
      <c r="T34" s="299"/>
      <c r="U34" s="299"/>
      <c r="V34" s="298"/>
      <c r="W34" s="298"/>
      <c r="X34" s="298"/>
      <c r="Y34" s="298"/>
      <c r="Z34" s="298"/>
      <c r="AA34" s="298"/>
      <c r="AB34" s="298"/>
      <c r="AC34" s="298"/>
      <c r="AD34" s="298"/>
      <c r="AE34" s="298"/>
      <c r="AF34" s="298"/>
      <c r="AG34" s="298"/>
      <c r="AH34" s="298"/>
      <c r="AI34" s="298"/>
      <c r="AJ34" s="298"/>
      <c r="AK34" s="298"/>
      <c r="AL34" s="298"/>
      <c r="AM34" s="246"/>
    </row>
  </sheetData>
  <autoFilter ref="B2:C2"/>
  <mergeCells count="8">
    <mergeCell ref="AM1:AM2"/>
    <mergeCell ref="A1:A2"/>
    <mergeCell ref="B1:B2"/>
    <mergeCell ref="C1:C2"/>
    <mergeCell ref="D1:J1"/>
    <mergeCell ref="K1:T1"/>
    <mergeCell ref="V1:Y1"/>
    <mergeCell ref="Z1:AL1"/>
  </mergeCells>
  <dataValidations count="1">
    <dataValidation type="list" allowBlank="1" showInputMessage="1" showErrorMessage="1" sqref="C3:C34">
      <formula1>"Nationwide, Interregional, Region-specific"</formula1>
    </dataValidation>
  </dataValidations>
  <printOptions horizontalCentered="1"/>
  <pageMargins left="0.75" right="0.75" top="1" bottom="1" header="0.3" footer="0.3"/>
  <pageSetup paperSize="9" scale="75" orientation="landscape" r:id="rId1"/>
  <headerFooter>
    <oddHeader xml:space="preserve">&amp;C&amp;"Arial,Bold"2011-2016 Revalidated Public Investment ProgramAnnex B-1: List of Prioritized Strategic Core Investment Programs and Projects (CIPs) with Investment Targets By Region </oddHeader>
    <oddFooter>&amp;L&amp;"Arial,Regular"&amp;10Revalidated 2011-2016 PIP&amp;R&amp;"Arial,Regular"&amp;10Page &amp;P of &amp;N</oddFooter>
  </headerFooter>
  <colBreaks count="2" manualBreakCount="2">
    <brk id="10" max="1048575" man="1"/>
    <brk id="25" max="37" man="1"/>
  </colBreaks>
</worksheet>
</file>

<file path=xl/worksheets/sheet4.xml><?xml version="1.0" encoding="utf-8"?>
<worksheet xmlns="http://schemas.openxmlformats.org/spreadsheetml/2006/main" xmlns:r="http://schemas.openxmlformats.org/officeDocument/2006/relationships">
  <dimension ref="A2:AV355"/>
  <sheetViews>
    <sheetView view="pageBreakPreview" zoomScale="60" workbookViewId="0">
      <pane xSplit="1" ySplit="6" topLeftCell="B127" activePane="bottomRight" state="frozen"/>
      <selection pane="topRight" activeCell="B1" sqref="B1"/>
      <selection pane="bottomLeft" activeCell="A7" sqref="A7"/>
      <selection pane="bottomRight" activeCell="P108" sqref="P108"/>
    </sheetView>
  </sheetViews>
  <sheetFormatPr defaultRowHeight="15"/>
  <cols>
    <col min="1" max="1" width="30.7109375" customWidth="1"/>
    <col min="2" max="2" width="15" hidden="1" customWidth="1"/>
    <col min="3" max="3" width="15.85546875" hidden="1" customWidth="1"/>
    <col min="4" max="4" width="14" hidden="1" customWidth="1"/>
    <col min="5" max="5" width="14.85546875" hidden="1" customWidth="1"/>
    <col min="6" max="6" width="13.140625" hidden="1" customWidth="1"/>
    <col min="7" max="7" width="13.85546875" hidden="1" customWidth="1"/>
    <col min="8" max="8" width="13.28515625" hidden="1" customWidth="1"/>
    <col min="9" max="9" width="16.42578125" hidden="1" customWidth="1"/>
    <col min="10" max="10" width="13.85546875" hidden="1" customWidth="1"/>
    <col min="11" max="11" width="13.140625" hidden="1" customWidth="1"/>
    <col min="12" max="12" width="19.85546875" customWidth="1"/>
    <col min="13" max="13" width="17.28515625" customWidth="1"/>
    <col min="14" max="14" width="13.7109375" customWidth="1"/>
    <col min="15" max="15" width="12.42578125" customWidth="1"/>
    <col min="16" max="16" width="12.7109375" customWidth="1"/>
    <col min="17" max="17" width="21.5703125" customWidth="1"/>
    <col min="18" max="18" width="21.28515625" customWidth="1"/>
    <col min="21" max="21" width="12.28515625" customWidth="1"/>
    <col min="22" max="22" width="11.5703125" customWidth="1"/>
    <col min="23" max="23" width="21.42578125" customWidth="1"/>
    <col min="24" max="24" width="18.85546875" customWidth="1"/>
    <col min="27" max="27" width="12.7109375" customWidth="1"/>
    <col min="28" max="28" width="14.140625" customWidth="1"/>
    <col min="29" max="29" width="18.28515625" customWidth="1"/>
    <col min="30" max="30" width="17.42578125" customWidth="1"/>
    <col min="31" max="32" width="9.140625" customWidth="1"/>
    <col min="33" max="33" width="13.85546875" customWidth="1"/>
    <col min="34" max="34" width="20.42578125" customWidth="1"/>
    <col min="35" max="35" width="17.42578125" customWidth="1"/>
    <col min="36" max="36" width="18.5703125" customWidth="1"/>
    <col min="37" max="37" width="17.5703125" customWidth="1"/>
    <col min="38" max="39" width="9.28515625" bestFit="1" customWidth="1"/>
    <col min="40" max="40" width="12" bestFit="1" customWidth="1"/>
    <col min="41" max="41" width="10.85546875" customWidth="1"/>
    <col min="42" max="42" width="19.140625" customWidth="1"/>
  </cols>
  <sheetData>
    <row r="2" spans="1:48" s="82" customFormat="1" ht="15.75" customHeight="1">
      <c r="A2" s="1178" t="s">
        <v>209</v>
      </c>
      <c r="B2" s="1178"/>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row>
    <row r="3" spans="1:48" s="82" customFormat="1" ht="15.75">
      <c r="A3" s="1179"/>
      <c r="B3" s="1179"/>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48" s="82" customFormat="1" ht="15.75">
      <c r="A4" s="1084"/>
      <c r="B4" s="850"/>
      <c r="C4" s="850"/>
      <c r="D4" s="1084" t="s">
        <v>0</v>
      </c>
      <c r="E4" s="1084" t="s">
        <v>210</v>
      </c>
      <c r="F4" s="1098" t="s">
        <v>5</v>
      </c>
      <c r="G4" s="1099"/>
      <c r="H4" s="1084" t="s">
        <v>22</v>
      </c>
      <c r="I4" s="1084" t="s">
        <v>211</v>
      </c>
      <c r="J4" s="1084" t="s">
        <v>212</v>
      </c>
      <c r="K4" s="1084" t="s">
        <v>213</v>
      </c>
      <c r="L4" s="1087" t="s">
        <v>214</v>
      </c>
      <c r="M4" s="1088"/>
      <c r="N4" s="1088"/>
      <c r="O4" s="1088"/>
      <c r="P4" s="1088"/>
      <c r="Q4" s="1088"/>
      <c r="R4" s="1088"/>
      <c r="S4" s="1088"/>
      <c r="T4" s="1088"/>
      <c r="U4" s="1088"/>
      <c r="V4" s="1088"/>
      <c r="W4" s="1088"/>
      <c r="X4" s="1088"/>
      <c r="Y4" s="1088"/>
      <c r="Z4" s="1088"/>
      <c r="AA4" s="1088"/>
      <c r="AB4" s="1088"/>
      <c r="AC4" s="1088"/>
      <c r="AD4" s="1088"/>
      <c r="AE4" s="1088"/>
      <c r="AF4" s="1088"/>
      <c r="AG4" s="1088"/>
      <c r="AH4" s="1088"/>
    </row>
    <row r="5" spans="1:48" s="82" customFormat="1" ht="47.25">
      <c r="A5" s="1085"/>
      <c r="B5" s="851" t="s">
        <v>215</v>
      </c>
      <c r="C5" s="851" t="s">
        <v>216</v>
      </c>
      <c r="D5" s="1085"/>
      <c r="E5" s="1085"/>
      <c r="F5" s="1089" t="s">
        <v>217</v>
      </c>
      <c r="G5" s="1089" t="s">
        <v>6</v>
      </c>
      <c r="H5" s="1085"/>
      <c r="I5" s="1085"/>
      <c r="J5" s="1085"/>
      <c r="K5" s="1085"/>
      <c r="L5" s="1091" t="s">
        <v>12</v>
      </c>
      <c r="M5" s="1092"/>
      <c r="N5" s="1092"/>
      <c r="O5" s="1092"/>
      <c r="P5" s="1092"/>
      <c r="Q5" s="1093"/>
      <c r="R5" s="1091" t="s">
        <v>13</v>
      </c>
      <c r="S5" s="1092"/>
      <c r="T5" s="1092"/>
      <c r="U5" s="1092"/>
      <c r="V5" s="1092"/>
      <c r="W5" s="1093"/>
      <c r="X5" s="1091" t="s">
        <v>14</v>
      </c>
      <c r="Y5" s="1092"/>
      <c r="Z5" s="1092"/>
      <c r="AA5" s="1092"/>
      <c r="AB5" s="1092"/>
      <c r="AC5" s="1093"/>
      <c r="AD5" s="1091" t="s">
        <v>15</v>
      </c>
      <c r="AE5" s="1092"/>
      <c r="AF5" s="1092"/>
      <c r="AG5" s="1092"/>
      <c r="AH5" s="1093"/>
      <c r="AI5" s="315" t="s">
        <v>688</v>
      </c>
      <c r="AJ5" s="315" t="s">
        <v>689</v>
      </c>
      <c r="AK5" s="1053" t="s">
        <v>726</v>
      </c>
      <c r="AL5" s="1054"/>
      <c r="AM5" s="1054"/>
      <c r="AN5" s="1054"/>
      <c r="AO5" s="1054"/>
      <c r="AP5" s="1055"/>
      <c r="AQ5" s="1053" t="s">
        <v>709</v>
      </c>
      <c r="AR5" s="1054"/>
      <c r="AS5" s="1054"/>
      <c r="AT5" s="1054"/>
      <c r="AU5" s="1054"/>
      <c r="AV5" s="1055"/>
    </row>
    <row r="6" spans="1:48" s="82" customFormat="1" ht="25.5">
      <c r="A6" s="1086"/>
      <c r="B6" s="852"/>
      <c r="C6" s="852"/>
      <c r="D6" s="1086"/>
      <c r="E6" s="1086"/>
      <c r="F6" s="1090"/>
      <c r="G6" s="1090"/>
      <c r="H6" s="1086"/>
      <c r="I6" s="1086"/>
      <c r="J6" s="1086"/>
      <c r="K6" s="1086"/>
      <c r="L6" s="96" t="s">
        <v>1</v>
      </c>
      <c r="M6" s="96" t="s">
        <v>9</v>
      </c>
      <c r="N6" s="96" t="s">
        <v>218</v>
      </c>
      <c r="O6" s="96" t="s">
        <v>17</v>
      </c>
      <c r="P6" s="96" t="s">
        <v>19</v>
      </c>
      <c r="Q6" s="96" t="s">
        <v>4</v>
      </c>
      <c r="R6" s="96" t="s">
        <v>1</v>
      </c>
      <c r="S6" s="96" t="s">
        <v>2</v>
      </c>
      <c r="T6" s="96" t="s">
        <v>219</v>
      </c>
      <c r="U6" s="96" t="s">
        <v>17</v>
      </c>
      <c r="V6" s="96" t="s">
        <v>19</v>
      </c>
      <c r="W6" s="96" t="s">
        <v>4</v>
      </c>
      <c r="X6" s="96" t="s">
        <v>1</v>
      </c>
      <c r="Y6" s="96" t="s">
        <v>9</v>
      </c>
      <c r="Z6" s="96" t="s">
        <v>218</v>
      </c>
      <c r="AA6" s="96" t="s">
        <v>17</v>
      </c>
      <c r="AB6" s="96" t="s">
        <v>19</v>
      </c>
      <c r="AC6" s="96" t="s">
        <v>4</v>
      </c>
      <c r="AD6" s="96" t="s">
        <v>1</v>
      </c>
      <c r="AE6" s="96" t="s">
        <v>9</v>
      </c>
      <c r="AF6" s="96" t="s">
        <v>219</v>
      </c>
      <c r="AG6" s="96" t="s">
        <v>17</v>
      </c>
      <c r="AH6" s="96" t="s">
        <v>19</v>
      </c>
      <c r="AI6" s="313"/>
      <c r="AJ6" s="316"/>
      <c r="AK6" s="923" t="s">
        <v>1</v>
      </c>
      <c r="AL6" s="923" t="s">
        <v>9</v>
      </c>
      <c r="AM6" s="923" t="s">
        <v>219</v>
      </c>
      <c r="AN6" s="923" t="s">
        <v>17</v>
      </c>
      <c r="AO6" s="923" t="s">
        <v>19</v>
      </c>
      <c r="AP6" s="923" t="s">
        <v>4</v>
      </c>
      <c r="AQ6" s="923" t="s">
        <v>1</v>
      </c>
      <c r="AR6" s="923" t="s">
        <v>9</v>
      </c>
      <c r="AS6" s="923" t="s">
        <v>219</v>
      </c>
      <c r="AT6" s="923" t="s">
        <v>17</v>
      </c>
      <c r="AU6" s="923" t="s">
        <v>19</v>
      </c>
      <c r="AV6" s="923" t="s">
        <v>4</v>
      </c>
    </row>
    <row r="7" spans="1:48" s="82" customFormat="1" ht="15.75">
      <c r="A7" s="852"/>
      <c r="B7" s="852" t="s">
        <v>33</v>
      </c>
      <c r="C7" s="852" t="s">
        <v>34</v>
      </c>
      <c r="D7" s="852" t="s">
        <v>45</v>
      </c>
      <c r="E7" s="854" t="s">
        <v>220</v>
      </c>
      <c r="F7" s="852" t="s">
        <v>36</v>
      </c>
      <c r="G7" s="852" t="s">
        <v>37</v>
      </c>
      <c r="H7" s="852" t="s">
        <v>38</v>
      </c>
      <c r="I7" s="852" t="s">
        <v>39</v>
      </c>
      <c r="J7" s="96" t="s">
        <v>40</v>
      </c>
      <c r="K7" s="96" t="s">
        <v>41</v>
      </c>
      <c r="L7" s="96" t="s">
        <v>221</v>
      </c>
      <c r="M7" s="96" t="s">
        <v>222</v>
      </c>
      <c r="N7" s="96" t="s">
        <v>223</v>
      </c>
      <c r="O7" s="96" t="s">
        <v>224</v>
      </c>
      <c r="P7" s="96" t="s">
        <v>225</v>
      </c>
      <c r="Q7" s="96" t="s">
        <v>226</v>
      </c>
      <c r="R7" s="96" t="s">
        <v>227</v>
      </c>
      <c r="S7" s="96" t="s">
        <v>228</v>
      </c>
      <c r="T7" s="96" t="s">
        <v>229</v>
      </c>
      <c r="U7" s="96" t="s">
        <v>230</v>
      </c>
      <c r="V7" s="96" t="s">
        <v>231</v>
      </c>
      <c r="W7" s="96" t="s">
        <v>232</v>
      </c>
      <c r="X7" s="96" t="s">
        <v>233</v>
      </c>
      <c r="Y7" s="96" t="s">
        <v>234</v>
      </c>
      <c r="Z7" s="96" t="s">
        <v>235</v>
      </c>
      <c r="AA7" s="96" t="s">
        <v>236</v>
      </c>
      <c r="AB7" s="96" t="s">
        <v>237</v>
      </c>
      <c r="AC7" s="96" t="s">
        <v>238</v>
      </c>
      <c r="AD7" s="96" t="s">
        <v>239</v>
      </c>
      <c r="AE7" s="96" t="s">
        <v>240</v>
      </c>
      <c r="AF7" s="96" t="s">
        <v>241</v>
      </c>
      <c r="AG7" s="96" t="s">
        <v>242</v>
      </c>
      <c r="AH7" s="96" t="s">
        <v>243</v>
      </c>
      <c r="AI7" s="313"/>
      <c r="AJ7" s="313"/>
    </row>
    <row r="8" spans="1:48" s="82" customFormat="1" ht="25.5">
      <c r="A8" s="90" t="s">
        <v>244</v>
      </c>
      <c r="B8" s="856"/>
      <c r="C8" s="856"/>
      <c r="D8" s="109"/>
      <c r="E8" s="856"/>
      <c r="F8" s="856"/>
      <c r="G8" s="856"/>
      <c r="H8" s="109"/>
      <c r="I8" s="856"/>
      <c r="J8" s="856"/>
      <c r="K8" s="856"/>
      <c r="L8" s="96"/>
      <c r="M8" s="96"/>
      <c r="N8" s="96"/>
      <c r="O8" s="96"/>
      <c r="P8" s="96"/>
      <c r="Q8" s="96"/>
      <c r="R8" s="96"/>
      <c r="S8" s="96"/>
      <c r="T8" s="96"/>
      <c r="U8" s="96"/>
      <c r="V8" s="96"/>
      <c r="W8" s="96"/>
      <c r="X8" s="96"/>
      <c r="Y8" s="96"/>
      <c r="Z8" s="96"/>
      <c r="AA8" s="96"/>
      <c r="AB8" s="96"/>
      <c r="AC8" s="96"/>
      <c r="AD8" s="96"/>
      <c r="AE8" s="96"/>
      <c r="AF8" s="96"/>
      <c r="AG8" s="96"/>
      <c r="AH8" s="96"/>
      <c r="AI8" s="313"/>
      <c r="AJ8" s="313"/>
    </row>
    <row r="9" spans="1:48" s="82" customFormat="1" ht="277.5" customHeight="1">
      <c r="A9" s="4" t="s">
        <v>245</v>
      </c>
      <c r="B9" s="846"/>
      <c r="C9" s="856"/>
      <c r="D9" s="856" t="s">
        <v>209</v>
      </c>
      <c r="E9" s="856"/>
      <c r="F9" s="856"/>
      <c r="G9" s="856"/>
      <c r="H9" s="856" t="s">
        <v>309</v>
      </c>
      <c r="I9" s="856" t="s">
        <v>246</v>
      </c>
      <c r="J9" s="856" t="s">
        <v>247</v>
      </c>
      <c r="K9" s="856"/>
      <c r="L9" s="96"/>
      <c r="M9" s="96"/>
      <c r="N9" s="96"/>
      <c r="O9" s="96"/>
      <c r="P9" s="96"/>
      <c r="Q9" s="396">
        <f>SUM(L9:P9)</f>
        <v>0</v>
      </c>
      <c r="R9" s="96"/>
      <c r="S9" s="96"/>
      <c r="T9" s="96"/>
      <c r="U9" s="96"/>
      <c r="V9" s="96"/>
      <c r="W9" s="398">
        <f>SUM(R9:V9)</f>
        <v>0</v>
      </c>
      <c r="X9" s="96"/>
      <c r="Y9" s="96"/>
      <c r="Z9" s="96"/>
      <c r="AA9" s="96"/>
      <c r="AB9" s="96"/>
      <c r="AC9" s="398">
        <f>SUM(X9:AB9)</f>
        <v>0</v>
      </c>
      <c r="AD9" s="96"/>
      <c r="AE9" s="96"/>
      <c r="AF9" s="96"/>
      <c r="AG9" s="96"/>
      <c r="AH9" s="96"/>
      <c r="AI9" s="399">
        <f>SUM(AD9:AH9)</f>
        <v>0</v>
      </c>
      <c r="AJ9" s="313"/>
    </row>
    <row r="10" spans="1:48" s="82" customFormat="1" ht="164.25" customHeight="1">
      <c r="A10" s="4" t="s">
        <v>248</v>
      </c>
      <c r="B10" s="856"/>
      <c r="C10" s="856"/>
      <c r="D10" s="856" t="s">
        <v>209</v>
      </c>
      <c r="E10" s="856"/>
      <c r="F10" s="856"/>
      <c r="G10" s="856"/>
      <c r="H10" s="856"/>
      <c r="I10" s="856" t="s">
        <v>249</v>
      </c>
      <c r="J10" s="856" t="s">
        <v>247</v>
      </c>
      <c r="K10" s="856"/>
      <c r="L10" s="96"/>
      <c r="M10" s="96"/>
      <c r="N10" s="96"/>
      <c r="O10" s="96"/>
      <c r="P10" s="96"/>
      <c r="Q10" s="396">
        <f t="shared" ref="Q10:Q27" si="0">SUM(L10:P10)</f>
        <v>0</v>
      </c>
      <c r="R10" s="96"/>
      <c r="S10" s="96"/>
      <c r="T10" s="96"/>
      <c r="U10" s="96"/>
      <c r="V10" s="96"/>
      <c r="W10" s="398">
        <f t="shared" ref="W10:W26" si="1">SUM(R10:V10)</f>
        <v>0</v>
      </c>
      <c r="X10" s="96"/>
      <c r="Y10" s="96"/>
      <c r="Z10" s="96"/>
      <c r="AA10" s="96"/>
      <c r="AB10" s="96"/>
      <c r="AC10" s="398">
        <f t="shared" ref="AC10:AC27" si="2">SUM(X10:AB10)</f>
        <v>0</v>
      </c>
      <c r="AD10" s="96"/>
      <c r="AE10" s="96"/>
      <c r="AF10" s="96"/>
      <c r="AG10" s="96"/>
      <c r="AH10" s="96"/>
      <c r="AI10" s="399">
        <f t="shared" ref="AI10:AI27" si="3">SUM(AD10:AH10)</f>
        <v>0</v>
      </c>
      <c r="AJ10" s="313"/>
    </row>
    <row r="11" spans="1:48" s="82" customFormat="1" ht="183.75" customHeight="1">
      <c r="A11" s="4" t="s">
        <v>393</v>
      </c>
      <c r="B11" s="856"/>
      <c r="C11" s="856"/>
      <c r="D11" s="856" t="s">
        <v>209</v>
      </c>
      <c r="E11" s="856"/>
      <c r="F11" s="856"/>
      <c r="G11" s="856"/>
      <c r="H11" s="856" t="s">
        <v>309</v>
      </c>
      <c r="I11" s="856" t="s">
        <v>249</v>
      </c>
      <c r="J11" s="856" t="s">
        <v>250</v>
      </c>
      <c r="K11" s="856"/>
      <c r="L11" s="96"/>
      <c r="M11" s="96"/>
      <c r="N11" s="96"/>
      <c r="O11" s="96"/>
      <c r="P11" s="96"/>
      <c r="Q11" s="396">
        <f t="shared" si="0"/>
        <v>0</v>
      </c>
      <c r="R11" s="96"/>
      <c r="S11" s="96"/>
      <c r="T11" s="96"/>
      <c r="U11" s="96"/>
      <c r="V11" s="96"/>
      <c r="W11" s="398">
        <f t="shared" si="1"/>
        <v>0</v>
      </c>
      <c r="X11" s="96"/>
      <c r="Y11" s="96"/>
      <c r="Z11" s="96"/>
      <c r="AA11" s="96"/>
      <c r="AB11" s="96"/>
      <c r="AC11" s="398">
        <f t="shared" si="2"/>
        <v>0</v>
      </c>
      <c r="AD11" s="96"/>
      <c r="AE11" s="96"/>
      <c r="AF11" s="96"/>
      <c r="AG11" s="96"/>
      <c r="AH11" s="96"/>
      <c r="AI11" s="399">
        <f t="shared" si="3"/>
        <v>0</v>
      </c>
      <c r="AJ11" s="313"/>
    </row>
    <row r="12" spans="1:48" s="82" customFormat="1" ht="190.5" customHeight="1">
      <c r="A12" s="4" t="s">
        <v>394</v>
      </c>
      <c r="B12" s="856"/>
      <c r="C12" s="856"/>
      <c r="D12" s="856" t="s">
        <v>209</v>
      </c>
      <c r="E12" s="856"/>
      <c r="F12" s="856"/>
      <c r="G12" s="856"/>
      <c r="H12" s="856"/>
      <c r="I12" s="856" t="s">
        <v>249</v>
      </c>
      <c r="J12" s="856" t="s">
        <v>251</v>
      </c>
      <c r="K12" s="856"/>
      <c r="L12" s="96"/>
      <c r="M12" s="96"/>
      <c r="N12" s="96"/>
      <c r="O12" s="96"/>
      <c r="P12" s="96"/>
      <c r="Q12" s="396">
        <f t="shared" si="0"/>
        <v>0</v>
      </c>
      <c r="R12" s="96"/>
      <c r="S12" s="96"/>
      <c r="T12" s="96"/>
      <c r="U12" s="96"/>
      <c r="V12" s="96"/>
      <c r="W12" s="398">
        <f t="shared" si="1"/>
        <v>0</v>
      </c>
      <c r="X12" s="96"/>
      <c r="Y12" s="96"/>
      <c r="Z12" s="96"/>
      <c r="AA12" s="96"/>
      <c r="AB12" s="96"/>
      <c r="AC12" s="398">
        <f t="shared" si="2"/>
        <v>0</v>
      </c>
      <c r="AD12" s="96"/>
      <c r="AE12" s="96"/>
      <c r="AF12" s="96"/>
      <c r="AG12" s="96"/>
      <c r="AH12" s="96"/>
      <c r="AI12" s="399">
        <f t="shared" si="3"/>
        <v>0</v>
      </c>
      <c r="AJ12" s="313"/>
    </row>
    <row r="13" spans="1:48" s="82" customFormat="1" ht="409.5">
      <c r="A13" s="4" t="s">
        <v>252</v>
      </c>
      <c r="B13" s="856"/>
      <c r="C13" s="856"/>
      <c r="D13" s="856" t="s">
        <v>209</v>
      </c>
      <c r="E13" s="856" t="s">
        <v>70</v>
      </c>
      <c r="F13" s="856"/>
      <c r="G13" s="856"/>
      <c r="H13" s="856" t="s">
        <v>309</v>
      </c>
      <c r="I13" s="856" t="s">
        <v>249</v>
      </c>
      <c r="J13" s="856"/>
      <c r="K13" s="856"/>
      <c r="L13" s="96"/>
      <c r="M13" s="96"/>
      <c r="N13" s="96"/>
      <c r="O13" s="96"/>
      <c r="P13" s="96"/>
      <c r="Q13" s="396">
        <f t="shared" si="0"/>
        <v>0</v>
      </c>
      <c r="R13" s="96"/>
      <c r="S13" s="96"/>
      <c r="T13" s="96"/>
      <c r="U13" s="96"/>
      <c r="V13" s="96"/>
      <c r="W13" s="398">
        <f t="shared" si="1"/>
        <v>0</v>
      </c>
      <c r="X13" s="96"/>
      <c r="Y13" s="96"/>
      <c r="Z13" s="96"/>
      <c r="AA13" s="96"/>
      <c r="AB13" s="96"/>
      <c r="AC13" s="398">
        <f t="shared" si="2"/>
        <v>0</v>
      </c>
      <c r="AD13" s="96"/>
      <c r="AE13" s="96"/>
      <c r="AF13" s="96"/>
      <c r="AG13" s="96"/>
      <c r="AH13" s="96"/>
      <c r="AI13" s="399">
        <f t="shared" si="3"/>
        <v>0</v>
      </c>
      <c r="AJ13" s="313"/>
    </row>
    <row r="14" spans="1:48" s="82" customFormat="1" ht="15.75">
      <c r="A14" s="4" t="s">
        <v>253</v>
      </c>
      <c r="B14" s="856"/>
      <c r="C14" s="856"/>
      <c r="D14" s="856"/>
      <c r="E14" s="856"/>
      <c r="F14" s="856"/>
      <c r="G14" s="856"/>
      <c r="H14" s="856"/>
      <c r="I14" s="856"/>
      <c r="J14" s="856"/>
      <c r="K14" s="112"/>
      <c r="L14" s="113"/>
      <c r="M14" s="113"/>
      <c r="N14" s="113"/>
      <c r="O14" s="113"/>
      <c r="P14" s="113"/>
      <c r="Q14" s="396">
        <f t="shared" si="0"/>
        <v>0</v>
      </c>
      <c r="R14" s="113"/>
      <c r="S14" s="113"/>
      <c r="T14" s="113"/>
      <c r="U14" s="113"/>
      <c r="V14" s="113"/>
      <c r="W14" s="398">
        <f t="shared" si="1"/>
        <v>0</v>
      </c>
      <c r="X14" s="113"/>
      <c r="Y14" s="113"/>
      <c r="Z14" s="113"/>
      <c r="AA14" s="113"/>
      <c r="AB14" s="113"/>
      <c r="AC14" s="398">
        <f t="shared" si="2"/>
        <v>0</v>
      </c>
      <c r="AD14" s="113"/>
      <c r="AE14" s="113"/>
      <c r="AF14" s="113"/>
      <c r="AG14" s="113"/>
      <c r="AH14" s="113"/>
      <c r="AI14" s="399">
        <f t="shared" si="3"/>
        <v>0</v>
      </c>
      <c r="AJ14" s="313"/>
    </row>
    <row r="15" spans="1:48" s="82" customFormat="1" ht="382.5">
      <c r="A15" s="4" t="s">
        <v>254</v>
      </c>
      <c r="B15" s="856"/>
      <c r="C15" s="856"/>
      <c r="D15" s="856" t="s">
        <v>209</v>
      </c>
      <c r="E15" s="104" t="s">
        <v>75</v>
      </c>
      <c r="F15" s="856"/>
      <c r="G15" s="856"/>
      <c r="H15" s="856" t="s">
        <v>156</v>
      </c>
      <c r="I15" s="856"/>
      <c r="J15" s="856"/>
      <c r="K15" s="856"/>
      <c r="L15" s="360">
        <v>28000</v>
      </c>
      <c r="M15" s="113"/>
      <c r="N15" s="113"/>
      <c r="O15" s="113"/>
      <c r="P15" s="113"/>
      <c r="Q15" s="396">
        <f t="shared" si="0"/>
        <v>28000</v>
      </c>
      <c r="R15" s="360">
        <v>30084</v>
      </c>
      <c r="S15" s="113"/>
      <c r="T15" s="113"/>
      <c r="U15" s="113"/>
      <c r="V15" s="113"/>
      <c r="W15" s="398">
        <f>SUM(R15:V15)</f>
        <v>30084</v>
      </c>
      <c r="X15" s="113"/>
      <c r="Y15" s="113"/>
      <c r="Z15" s="113"/>
      <c r="AA15" s="113"/>
      <c r="AB15" s="113"/>
      <c r="AC15" s="398">
        <f t="shared" si="2"/>
        <v>0</v>
      </c>
      <c r="AD15" s="113"/>
      <c r="AE15" s="113"/>
      <c r="AF15" s="113"/>
      <c r="AG15" s="113"/>
      <c r="AH15" s="113"/>
      <c r="AI15" s="399">
        <f t="shared" si="3"/>
        <v>0</v>
      </c>
      <c r="AJ15" s="313"/>
    </row>
    <row r="16" spans="1:48" s="82" customFormat="1" ht="409.5">
      <c r="A16" s="4" t="s">
        <v>255</v>
      </c>
      <c r="B16" s="856"/>
      <c r="C16" s="856"/>
      <c r="D16" s="856" t="s">
        <v>209</v>
      </c>
      <c r="E16" s="856" t="s">
        <v>256</v>
      </c>
      <c r="F16" s="856"/>
      <c r="G16" s="856"/>
      <c r="H16" s="856" t="s">
        <v>309</v>
      </c>
      <c r="I16" s="856" t="s">
        <v>249</v>
      </c>
      <c r="J16" s="856"/>
      <c r="K16" s="856"/>
      <c r="L16" s="113"/>
      <c r="M16" s="113"/>
      <c r="N16" s="113"/>
      <c r="O16" s="113"/>
      <c r="P16" s="113"/>
      <c r="Q16" s="396">
        <f t="shared" si="0"/>
        <v>0</v>
      </c>
      <c r="R16" s="113"/>
      <c r="S16" s="113"/>
      <c r="T16" s="113"/>
      <c r="U16" s="113"/>
      <c r="V16" s="113"/>
      <c r="W16" s="398">
        <f t="shared" si="1"/>
        <v>0</v>
      </c>
      <c r="X16" s="113"/>
      <c r="Y16" s="113"/>
      <c r="Z16" s="113"/>
      <c r="AA16" s="113"/>
      <c r="AB16" s="113"/>
      <c r="AC16" s="398">
        <f t="shared" si="2"/>
        <v>0</v>
      </c>
      <c r="AD16" s="113"/>
      <c r="AE16" s="113"/>
      <c r="AF16" s="113"/>
      <c r="AG16" s="113"/>
      <c r="AH16" s="113"/>
      <c r="AI16" s="399">
        <f t="shared" si="3"/>
        <v>0</v>
      </c>
      <c r="AJ16" s="313"/>
    </row>
    <row r="17" spans="1:37" s="82" customFormat="1" ht="15.75">
      <c r="A17" s="4" t="s">
        <v>253</v>
      </c>
      <c r="B17" s="856"/>
      <c r="C17" s="856"/>
      <c r="D17" s="856"/>
      <c r="E17" s="856"/>
      <c r="F17" s="856"/>
      <c r="G17" s="856"/>
      <c r="H17" s="856"/>
      <c r="I17" s="856"/>
      <c r="J17" s="856"/>
      <c r="K17" s="856"/>
      <c r="L17" s="113"/>
      <c r="M17" s="113"/>
      <c r="N17" s="113"/>
      <c r="O17" s="113"/>
      <c r="P17" s="113"/>
      <c r="Q17" s="396">
        <f t="shared" si="0"/>
        <v>0</v>
      </c>
      <c r="R17" s="113"/>
      <c r="S17" s="113"/>
      <c r="T17" s="113"/>
      <c r="U17" s="113"/>
      <c r="V17" s="113"/>
      <c r="W17" s="398">
        <f t="shared" si="1"/>
        <v>0</v>
      </c>
      <c r="X17" s="113"/>
      <c r="Y17" s="113"/>
      <c r="Z17" s="113"/>
      <c r="AA17" s="113"/>
      <c r="AB17" s="113"/>
      <c r="AC17" s="398">
        <f t="shared" si="2"/>
        <v>0</v>
      </c>
      <c r="AD17" s="113"/>
      <c r="AE17" s="113"/>
      <c r="AF17" s="113"/>
      <c r="AG17" s="113"/>
      <c r="AH17" s="113"/>
      <c r="AI17" s="399">
        <f t="shared" si="3"/>
        <v>0</v>
      </c>
      <c r="AJ17" s="313"/>
    </row>
    <row r="18" spans="1:37" s="82" customFormat="1" ht="331.5">
      <c r="A18" s="4" t="s">
        <v>257</v>
      </c>
      <c r="B18" s="856"/>
      <c r="C18" s="856"/>
      <c r="D18" s="856" t="s">
        <v>209</v>
      </c>
      <c r="E18" s="856" t="s">
        <v>258</v>
      </c>
      <c r="F18" s="856"/>
      <c r="G18" s="856"/>
      <c r="H18" s="856"/>
      <c r="I18" s="856"/>
      <c r="J18" s="856"/>
      <c r="K18" s="856"/>
      <c r="L18" s="113"/>
      <c r="M18" s="113"/>
      <c r="N18" s="113"/>
      <c r="O18" s="113"/>
      <c r="P18" s="113"/>
      <c r="Q18" s="396">
        <f t="shared" si="0"/>
        <v>0</v>
      </c>
      <c r="R18" s="113"/>
      <c r="S18" s="113"/>
      <c r="T18" s="113"/>
      <c r="U18" s="113"/>
      <c r="V18" s="113"/>
      <c r="W18" s="398">
        <f t="shared" si="1"/>
        <v>0</v>
      </c>
      <c r="X18" s="360">
        <f>1060*1000</f>
        <v>1060000</v>
      </c>
      <c r="Y18" s="113"/>
      <c r="Z18" s="113"/>
      <c r="AA18" s="113"/>
      <c r="AB18" s="113"/>
      <c r="AC18" s="398">
        <f t="shared" si="2"/>
        <v>1060000</v>
      </c>
      <c r="AD18" s="113"/>
      <c r="AE18" s="113"/>
      <c r="AF18" s="113"/>
      <c r="AG18" s="113"/>
      <c r="AH18" s="113"/>
      <c r="AI18" s="399">
        <f t="shared" si="3"/>
        <v>0</v>
      </c>
      <c r="AJ18" s="313"/>
    </row>
    <row r="19" spans="1:37" s="82" customFormat="1" ht="89.25">
      <c r="A19" s="4" t="s">
        <v>259</v>
      </c>
      <c r="B19" s="856"/>
      <c r="C19" s="856"/>
      <c r="D19" s="856" t="s">
        <v>209</v>
      </c>
      <c r="E19" s="856" t="s">
        <v>260</v>
      </c>
      <c r="F19" s="856"/>
      <c r="G19" s="856"/>
      <c r="H19" s="856"/>
      <c r="I19" s="856"/>
      <c r="J19" s="856"/>
      <c r="K19" s="856"/>
      <c r="L19" s="360">
        <v>16600</v>
      </c>
      <c r="M19" s="113"/>
      <c r="N19" s="113"/>
      <c r="O19" s="113"/>
      <c r="P19" s="113"/>
      <c r="Q19" s="396">
        <f t="shared" si="0"/>
        <v>16600</v>
      </c>
      <c r="R19" s="360">
        <v>26400</v>
      </c>
      <c r="S19" s="113"/>
      <c r="T19" s="113"/>
      <c r="U19" s="113"/>
      <c r="V19" s="113"/>
      <c r="W19" s="398">
        <f>SUM(R19:V19)</f>
        <v>26400</v>
      </c>
      <c r="X19" s="361">
        <v>123650</v>
      </c>
      <c r="Y19" s="113"/>
      <c r="Z19" s="113"/>
      <c r="AA19" s="113"/>
      <c r="AB19" s="113"/>
      <c r="AC19" s="398">
        <f t="shared" si="2"/>
        <v>123650</v>
      </c>
      <c r="AD19" s="360">
        <v>358550</v>
      </c>
      <c r="AE19" s="113"/>
      <c r="AF19" s="113"/>
      <c r="AG19" s="113"/>
      <c r="AH19" s="113"/>
      <c r="AI19" s="399">
        <f t="shared" si="3"/>
        <v>358550</v>
      </c>
      <c r="AJ19" s="313"/>
    </row>
    <row r="20" spans="1:37" s="82" customFormat="1" ht="204">
      <c r="A20" s="4" t="s">
        <v>261</v>
      </c>
      <c r="B20" s="856"/>
      <c r="C20" s="856"/>
      <c r="D20" s="856" t="s">
        <v>209</v>
      </c>
      <c r="E20" s="856" t="s">
        <v>262</v>
      </c>
      <c r="F20" s="856"/>
      <c r="G20" s="856"/>
      <c r="H20" s="856"/>
      <c r="I20" s="856"/>
      <c r="J20" s="856"/>
      <c r="K20" s="856"/>
      <c r="L20" s="114"/>
      <c r="M20" s="115"/>
      <c r="N20" s="115"/>
      <c r="O20" s="115"/>
      <c r="P20" s="115"/>
      <c r="Q20" s="396">
        <f t="shared" si="0"/>
        <v>0</v>
      </c>
      <c r="R20" s="362">
        <v>54220</v>
      </c>
      <c r="S20" s="115"/>
      <c r="T20" s="115"/>
      <c r="U20" s="115"/>
      <c r="V20" s="115"/>
      <c r="W20" s="398">
        <f t="shared" si="1"/>
        <v>54220</v>
      </c>
      <c r="X20" s="362">
        <v>19720</v>
      </c>
      <c r="Y20" s="115"/>
      <c r="Z20" s="115"/>
      <c r="AA20" s="115"/>
      <c r="AB20" s="115"/>
      <c r="AC20" s="398">
        <f t="shared" si="2"/>
        <v>19720</v>
      </c>
      <c r="AD20" s="362">
        <v>44400</v>
      </c>
      <c r="AE20" s="115"/>
      <c r="AF20" s="115"/>
      <c r="AG20" s="115"/>
      <c r="AH20" s="115"/>
      <c r="AI20" s="399">
        <f t="shared" si="3"/>
        <v>44400</v>
      </c>
      <c r="AJ20" s="313"/>
    </row>
    <row r="21" spans="1:37" s="82" customFormat="1" ht="204">
      <c r="A21" s="4" t="s">
        <v>263</v>
      </c>
      <c r="B21" s="856"/>
      <c r="C21" s="856"/>
      <c r="D21" s="856" t="s">
        <v>209</v>
      </c>
      <c r="E21" s="856" t="s">
        <v>264</v>
      </c>
      <c r="F21" s="856"/>
      <c r="G21" s="856"/>
      <c r="H21" s="856"/>
      <c r="I21" s="856"/>
      <c r="J21" s="856"/>
      <c r="K21" s="856"/>
      <c r="L21" s="965"/>
      <c r="M21" s="965"/>
      <c r="N21" s="965"/>
      <c r="O21" s="965"/>
      <c r="P21" s="965"/>
      <c r="Q21" s="966">
        <f t="shared" si="0"/>
        <v>0</v>
      </c>
      <c r="R21" s="965"/>
      <c r="S21" s="965"/>
      <c r="T21" s="965"/>
      <c r="U21" s="965"/>
      <c r="V21" s="965"/>
      <c r="W21" s="967">
        <f t="shared" si="1"/>
        <v>0</v>
      </c>
      <c r="X21" s="965"/>
      <c r="Y21" s="965"/>
      <c r="Z21" s="965"/>
      <c r="AA21" s="965"/>
      <c r="AB21" s="965"/>
      <c r="AC21" s="967">
        <f t="shared" si="2"/>
        <v>0</v>
      </c>
      <c r="AD21" s="965"/>
      <c r="AE21" s="965"/>
      <c r="AF21" s="965"/>
      <c r="AG21" s="965"/>
      <c r="AH21" s="965"/>
      <c r="AI21" s="399">
        <f t="shared" si="3"/>
        <v>0</v>
      </c>
      <c r="AJ21" s="313"/>
    </row>
    <row r="22" spans="1:37" s="82" customFormat="1" ht="102">
      <c r="A22" s="4" t="s">
        <v>265</v>
      </c>
      <c r="B22" s="856"/>
      <c r="C22" s="856"/>
      <c r="D22" s="856" t="s">
        <v>209</v>
      </c>
      <c r="E22" s="856" t="s">
        <v>266</v>
      </c>
      <c r="F22" s="856"/>
      <c r="G22" s="856"/>
      <c r="H22" s="856"/>
      <c r="I22" s="856"/>
      <c r="J22" s="856"/>
      <c r="K22" s="856"/>
      <c r="L22" s="115"/>
      <c r="M22" s="115"/>
      <c r="N22" s="115"/>
      <c r="O22" s="115"/>
      <c r="P22" s="115"/>
      <c r="Q22" s="396">
        <f t="shared" si="0"/>
        <v>0</v>
      </c>
      <c r="R22" s="115"/>
      <c r="S22" s="115"/>
      <c r="T22" s="115"/>
      <c r="U22" s="115"/>
      <c r="V22" s="115"/>
      <c r="W22" s="398">
        <f t="shared" si="1"/>
        <v>0</v>
      </c>
      <c r="X22" s="362">
        <v>250000</v>
      </c>
      <c r="Y22" s="115"/>
      <c r="Z22" s="115"/>
      <c r="AA22" s="115"/>
      <c r="AB22" s="115"/>
      <c r="AC22" s="398">
        <f t="shared" si="2"/>
        <v>250000</v>
      </c>
      <c r="AD22" s="362">
        <v>200000</v>
      </c>
      <c r="AE22" s="115"/>
      <c r="AF22" s="115"/>
      <c r="AG22" s="115"/>
      <c r="AH22" s="115"/>
      <c r="AI22" s="399">
        <f t="shared" si="3"/>
        <v>200000</v>
      </c>
      <c r="AJ22" s="313"/>
    </row>
    <row r="23" spans="1:37" s="82" customFormat="1" ht="76.5">
      <c r="A23" s="4" t="s">
        <v>267</v>
      </c>
      <c r="B23" s="856"/>
      <c r="C23" s="856"/>
      <c r="D23" s="856" t="s">
        <v>209</v>
      </c>
      <c r="E23" s="856" t="s">
        <v>268</v>
      </c>
      <c r="F23" s="856"/>
      <c r="G23" s="856"/>
      <c r="H23" s="856"/>
      <c r="I23" s="856"/>
      <c r="J23" s="856"/>
      <c r="K23" s="856"/>
      <c r="L23" s="115"/>
      <c r="M23" s="115"/>
      <c r="N23" s="115"/>
      <c r="O23" s="115"/>
      <c r="P23" s="115"/>
      <c r="Q23" s="396">
        <f t="shared" si="0"/>
        <v>0</v>
      </c>
      <c r="R23" s="362">
        <v>18000</v>
      </c>
      <c r="S23" s="115"/>
      <c r="T23" s="115"/>
      <c r="U23" s="115"/>
      <c r="V23" s="115"/>
      <c r="W23" s="398">
        <f t="shared" si="1"/>
        <v>18000</v>
      </c>
      <c r="X23" s="362">
        <v>60000</v>
      </c>
      <c r="Y23" s="115"/>
      <c r="Z23" s="115"/>
      <c r="AA23" s="115"/>
      <c r="AB23" s="115"/>
      <c r="AC23" s="398">
        <f t="shared" si="2"/>
        <v>60000</v>
      </c>
      <c r="AD23" s="115"/>
      <c r="AE23" s="115"/>
      <c r="AF23" s="115"/>
      <c r="AG23" s="115"/>
      <c r="AH23" s="115"/>
      <c r="AI23" s="399">
        <f t="shared" si="3"/>
        <v>0</v>
      </c>
      <c r="AJ23" s="313"/>
    </row>
    <row r="24" spans="1:37" s="82" customFormat="1" ht="102">
      <c r="A24" s="4" t="s">
        <v>269</v>
      </c>
      <c r="B24" s="856"/>
      <c r="C24" s="856"/>
      <c r="D24" s="856" t="s">
        <v>209</v>
      </c>
      <c r="E24" s="856" t="s">
        <v>270</v>
      </c>
      <c r="F24" s="856"/>
      <c r="G24" s="856"/>
      <c r="H24" s="856"/>
      <c r="I24" s="856"/>
      <c r="J24" s="856"/>
      <c r="K24" s="856"/>
      <c r="L24" s="115"/>
      <c r="M24" s="115"/>
      <c r="N24" s="115"/>
      <c r="O24" s="115"/>
      <c r="P24" s="115"/>
      <c r="Q24" s="396">
        <f t="shared" si="0"/>
        <v>0</v>
      </c>
      <c r="R24" s="362">
        <v>250000</v>
      </c>
      <c r="S24" s="115"/>
      <c r="T24" s="115"/>
      <c r="U24" s="115"/>
      <c r="V24" s="115"/>
      <c r="W24" s="398">
        <f t="shared" si="1"/>
        <v>250000</v>
      </c>
      <c r="X24" s="362">
        <v>130000</v>
      </c>
      <c r="Y24" s="115"/>
      <c r="Z24" s="115"/>
      <c r="AA24" s="115"/>
      <c r="AB24" s="115"/>
      <c r="AC24" s="398">
        <f t="shared" si="2"/>
        <v>130000</v>
      </c>
      <c r="AD24" s="115"/>
      <c r="AE24" s="115"/>
      <c r="AF24" s="115"/>
      <c r="AG24" s="115"/>
      <c r="AH24" s="115"/>
      <c r="AI24" s="399">
        <f t="shared" si="3"/>
        <v>0</v>
      </c>
      <c r="AJ24" s="313"/>
    </row>
    <row r="25" spans="1:37" s="82" customFormat="1" ht="102">
      <c r="A25" s="4" t="s">
        <v>271</v>
      </c>
      <c r="B25" s="856"/>
      <c r="C25" s="856"/>
      <c r="D25" s="856" t="s">
        <v>209</v>
      </c>
      <c r="E25" s="856" t="s">
        <v>272</v>
      </c>
      <c r="F25" s="856"/>
      <c r="G25" s="856"/>
      <c r="H25" s="856"/>
      <c r="I25" s="856"/>
      <c r="J25" s="856"/>
      <c r="K25" s="856"/>
      <c r="L25" s="115"/>
      <c r="M25" s="115"/>
      <c r="N25" s="115"/>
      <c r="O25" s="115"/>
      <c r="P25" s="115"/>
      <c r="Q25" s="396">
        <f t="shared" si="0"/>
        <v>0</v>
      </c>
      <c r="R25" s="115"/>
      <c r="S25" s="115"/>
      <c r="T25" s="115"/>
      <c r="U25" s="115"/>
      <c r="V25" s="115"/>
      <c r="W25" s="398">
        <f t="shared" si="1"/>
        <v>0</v>
      </c>
      <c r="X25" s="115"/>
      <c r="Y25" s="115"/>
      <c r="Z25" s="115"/>
      <c r="AA25" s="115"/>
      <c r="AB25" s="115"/>
      <c r="AC25" s="398">
        <f t="shared" si="2"/>
        <v>0</v>
      </c>
      <c r="AD25" s="362">
        <v>90000</v>
      </c>
      <c r="AE25" s="115"/>
      <c r="AF25" s="115"/>
      <c r="AG25" s="115"/>
      <c r="AH25" s="115"/>
      <c r="AI25" s="399">
        <f t="shared" si="3"/>
        <v>90000</v>
      </c>
      <c r="AJ25" s="313"/>
    </row>
    <row r="26" spans="1:37" s="82" customFormat="1" ht="38.25">
      <c r="A26" s="4" t="s">
        <v>273</v>
      </c>
      <c r="B26" s="856"/>
      <c r="C26" s="856"/>
      <c r="D26" s="856" t="s">
        <v>209</v>
      </c>
      <c r="E26" s="856" t="s">
        <v>274</v>
      </c>
      <c r="F26" s="856"/>
      <c r="G26" s="856"/>
      <c r="H26" s="856"/>
      <c r="I26" s="856"/>
      <c r="J26" s="856"/>
      <c r="K26" s="856"/>
      <c r="L26" s="115"/>
      <c r="M26" s="115"/>
      <c r="N26" s="115"/>
      <c r="O26" s="115"/>
      <c r="P26" s="115"/>
      <c r="Q26" s="396">
        <f t="shared" si="0"/>
        <v>0</v>
      </c>
      <c r="R26" s="115"/>
      <c r="S26" s="115"/>
      <c r="T26" s="115"/>
      <c r="U26" s="115"/>
      <c r="V26" s="115"/>
      <c r="W26" s="398">
        <f t="shared" si="1"/>
        <v>0</v>
      </c>
      <c r="X26" s="362">
        <v>70000</v>
      </c>
      <c r="Y26" s="115"/>
      <c r="Z26" s="115"/>
      <c r="AA26" s="115"/>
      <c r="AB26" s="115"/>
      <c r="AC26" s="398">
        <f t="shared" si="2"/>
        <v>70000</v>
      </c>
      <c r="AD26" s="115"/>
      <c r="AE26" s="115"/>
      <c r="AF26" s="115"/>
      <c r="AG26" s="115"/>
      <c r="AH26" s="115"/>
      <c r="AI26" s="399">
        <f t="shared" si="3"/>
        <v>0</v>
      </c>
      <c r="AJ26" s="313"/>
    </row>
    <row r="27" spans="1:37" s="82" customFormat="1" ht="38.25">
      <c r="A27" s="4" t="s">
        <v>275</v>
      </c>
      <c r="B27" s="856"/>
      <c r="C27" s="856"/>
      <c r="D27" s="856" t="s">
        <v>209</v>
      </c>
      <c r="E27" s="856"/>
      <c r="F27" s="856"/>
      <c r="G27" s="856"/>
      <c r="H27" s="856"/>
      <c r="I27" s="856"/>
      <c r="J27" s="856"/>
      <c r="K27" s="856"/>
      <c r="L27" s="362">
        <v>13400</v>
      </c>
      <c r="M27" s="115"/>
      <c r="N27" s="115"/>
      <c r="O27" s="115"/>
      <c r="P27" s="115"/>
      <c r="Q27" s="396">
        <f t="shared" si="0"/>
        <v>13400</v>
      </c>
      <c r="R27" s="499">
        <f>74.6*1000</f>
        <v>74600</v>
      </c>
      <c r="S27" s="115"/>
      <c r="T27" s="115"/>
      <c r="U27" s="115"/>
      <c r="V27" s="115"/>
      <c r="W27" s="398">
        <f>SUM(R27:V27)</f>
        <v>74600</v>
      </c>
      <c r="X27" s="115"/>
      <c r="Y27" s="115"/>
      <c r="Z27" s="115"/>
      <c r="AA27" s="115"/>
      <c r="AB27" s="115"/>
      <c r="AC27" s="398">
        <f t="shared" si="2"/>
        <v>0</v>
      </c>
      <c r="AD27" s="115"/>
      <c r="AE27" s="115"/>
      <c r="AF27" s="115"/>
      <c r="AG27" s="115"/>
      <c r="AH27" s="115"/>
      <c r="AI27" s="399">
        <f t="shared" si="3"/>
        <v>0</v>
      </c>
      <c r="AJ27" s="313"/>
    </row>
    <row r="28" spans="1:37" s="82" customFormat="1" ht="15.75">
      <c r="A28" s="172" t="s">
        <v>276</v>
      </c>
      <c r="B28" s="846"/>
      <c r="C28" s="846"/>
      <c r="D28" s="846"/>
      <c r="E28" s="846"/>
      <c r="F28" s="846"/>
      <c r="G28" s="846"/>
      <c r="H28" s="846"/>
      <c r="I28" s="846"/>
      <c r="J28" s="846"/>
      <c r="K28" s="846"/>
      <c r="L28" s="363">
        <v>58000</v>
      </c>
      <c r="M28" s="177">
        <v>0</v>
      </c>
      <c r="N28" s="177">
        <v>0</v>
      </c>
      <c r="O28" s="177">
        <v>0</v>
      </c>
      <c r="P28" s="177">
        <v>0</v>
      </c>
      <c r="Q28" s="397">
        <v>0</v>
      </c>
      <c r="R28" s="363">
        <v>453280</v>
      </c>
      <c r="S28" s="177">
        <v>0</v>
      </c>
      <c r="T28" s="177">
        <v>0</v>
      </c>
      <c r="U28" s="177">
        <v>0</v>
      </c>
      <c r="V28" s="177">
        <v>0</v>
      </c>
      <c r="W28" s="177">
        <v>0</v>
      </c>
      <c r="X28" s="363">
        <v>1713370</v>
      </c>
      <c r="Y28" s="177">
        <v>0</v>
      </c>
      <c r="Z28" s="177">
        <v>0</v>
      </c>
      <c r="AA28" s="177">
        <v>0</v>
      </c>
      <c r="AB28" s="177">
        <v>0</v>
      </c>
      <c r="AC28" s="177">
        <v>0</v>
      </c>
      <c r="AD28" s="363">
        <v>692950</v>
      </c>
      <c r="AE28" s="177">
        <v>0</v>
      </c>
      <c r="AF28" s="177">
        <v>0</v>
      </c>
      <c r="AG28" s="177">
        <v>0</v>
      </c>
      <c r="AH28" s="177">
        <v>0</v>
      </c>
      <c r="AI28" s="315">
        <v>693</v>
      </c>
      <c r="AJ28" s="317">
        <v>2917580</v>
      </c>
      <c r="AK28" s="387">
        <f>SUM(AD28+X28+R28+L28)</f>
        <v>2917600</v>
      </c>
    </row>
    <row r="29" spans="1:37" s="82" customFormat="1" ht="15.75">
      <c r="A29" s="116"/>
      <c r="B29" s="116"/>
      <c r="C29" s="116"/>
      <c r="D29" s="104"/>
      <c r="E29" s="104"/>
      <c r="F29" s="104"/>
      <c r="G29" s="104"/>
      <c r="H29" s="104"/>
      <c r="I29" s="104"/>
      <c r="J29" s="104"/>
      <c r="K29" s="104"/>
      <c r="L29" s="117"/>
      <c r="M29" s="117"/>
      <c r="N29" s="117"/>
      <c r="O29" s="117"/>
      <c r="P29" s="117"/>
      <c r="Q29" s="118"/>
      <c r="R29" s="117"/>
      <c r="S29" s="117"/>
      <c r="T29" s="117"/>
      <c r="U29" s="117"/>
      <c r="V29" s="117"/>
      <c r="W29" s="118"/>
      <c r="X29" s="118"/>
      <c r="Y29" s="118"/>
      <c r="Z29" s="118"/>
      <c r="AA29" s="118"/>
      <c r="AB29" s="118"/>
      <c r="AC29" s="118"/>
      <c r="AD29" s="117"/>
      <c r="AE29" s="117"/>
      <c r="AF29" s="117"/>
      <c r="AG29" s="117"/>
      <c r="AH29" s="117"/>
    </row>
    <row r="30" spans="1:37" s="386" customFormat="1" ht="15.75">
      <c r="A30" s="383" t="s">
        <v>277</v>
      </c>
      <c r="B30" s="384"/>
      <c r="C30" s="385"/>
      <c r="D30" s="385"/>
      <c r="E30" s="385"/>
      <c r="F30" s="385"/>
      <c r="G30" s="385"/>
      <c r="H30" s="385"/>
      <c r="I30" s="385"/>
      <c r="J30" s="384"/>
      <c r="K30" s="384"/>
      <c r="L30" s="388">
        <f>SUM(L8:L27)</f>
        <v>58000</v>
      </c>
      <c r="M30" s="388">
        <f t="shared" ref="M30:AI30" si="4">SUM(M8:M27)</f>
        <v>0</v>
      </c>
      <c r="N30" s="388">
        <f t="shared" si="4"/>
        <v>0</v>
      </c>
      <c r="O30" s="388">
        <f t="shared" si="4"/>
        <v>0</v>
      </c>
      <c r="P30" s="388">
        <f t="shared" si="4"/>
        <v>0</v>
      </c>
      <c r="Q30" s="388">
        <f>SUM(Q8:Q27)</f>
        <v>58000</v>
      </c>
      <c r="R30" s="388">
        <f>SUM(R8:R27)</f>
        <v>453304</v>
      </c>
      <c r="S30" s="388">
        <f t="shared" si="4"/>
        <v>0</v>
      </c>
      <c r="T30" s="388">
        <f t="shared" si="4"/>
        <v>0</v>
      </c>
      <c r="U30" s="388">
        <f t="shared" si="4"/>
        <v>0</v>
      </c>
      <c r="V30" s="388">
        <f t="shared" si="4"/>
        <v>0</v>
      </c>
      <c r="W30" s="388">
        <f>SUM(W8:W27)</f>
        <v>453304</v>
      </c>
      <c r="X30" s="388">
        <f>SUM(X8:X27)</f>
        <v>1713370</v>
      </c>
      <c r="Y30" s="388">
        <f t="shared" si="4"/>
        <v>0</v>
      </c>
      <c r="Z30" s="388">
        <f t="shared" si="4"/>
        <v>0</v>
      </c>
      <c r="AA30" s="388">
        <f t="shared" si="4"/>
        <v>0</v>
      </c>
      <c r="AB30" s="388">
        <f t="shared" si="4"/>
        <v>0</v>
      </c>
      <c r="AC30" s="388">
        <f>SUM(AC8:AC27)</f>
        <v>1713370</v>
      </c>
      <c r="AD30" s="388">
        <f t="shared" si="4"/>
        <v>692950</v>
      </c>
      <c r="AE30" s="388">
        <f t="shared" si="4"/>
        <v>0</v>
      </c>
      <c r="AF30" s="388">
        <f t="shared" si="4"/>
        <v>0</v>
      </c>
      <c r="AG30" s="388">
        <f t="shared" si="4"/>
        <v>0</v>
      </c>
      <c r="AH30" s="388">
        <f>SUM(AH8:AH27)</f>
        <v>0</v>
      </c>
      <c r="AI30" s="388">
        <f t="shared" si="4"/>
        <v>692950</v>
      </c>
      <c r="AJ30" s="389"/>
      <c r="AK30" s="389">
        <f>SUM(X30+R30+L30+AI30)</f>
        <v>2917624</v>
      </c>
    </row>
    <row r="31" spans="1:37" s="82" customFormat="1" ht="15.75">
      <c r="A31" s="1177" t="s">
        <v>278</v>
      </c>
      <c r="B31" s="1177"/>
      <c r="C31" s="1177"/>
      <c r="D31" s="1177"/>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K31" s="386">
        <f>SUM(AI30+AC30+W30+Q30)</f>
        <v>2917624</v>
      </c>
    </row>
    <row r="32" spans="1:37" s="82" customFormat="1" ht="47.25">
      <c r="A32" s="1164"/>
      <c r="B32" s="1175" t="s">
        <v>215</v>
      </c>
      <c r="C32" s="1175" t="s">
        <v>279</v>
      </c>
      <c r="D32" s="1175" t="s">
        <v>0</v>
      </c>
      <c r="E32" s="1175" t="s">
        <v>210</v>
      </c>
      <c r="F32" s="1176" t="s">
        <v>280</v>
      </c>
      <c r="G32" s="1176"/>
      <c r="H32" s="1175" t="s">
        <v>22</v>
      </c>
      <c r="I32" s="1175" t="s">
        <v>281</v>
      </c>
      <c r="J32" s="1175" t="s">
        <v>212</v>
      </c>
      <c r="K32" s="1175" t="s">
        <v>282</v>
      </c>
      <c r="L32" s="1175">
        <v>2013</v>
      </c>
      <c r="M32" s="1175"/>
      <c r="N32" s="1175"/>
      <c r="O32" s="1175"/>
      <c r="P32" s="1175"/>
      <c r="Q32" s="1175"/>
      <c r="R32" s="1175">
        <v>2014</v>
      </c>
      <c r="S32" s="1175"/>
      <c r="T32" s="1175"/>
      <c r="U32" s="1175"/>
      <c r="V32" s="1175"/>
      <c r="W32" s="1175"/>
      <c r="X32" s="1175">
        <v>2015</v>
      </c>
      <c r="Y32" s="1175"/>
      <c r="Z32" s="1175"/>
      <c r="AA32" s="1175"/>
      <c r="AB32" s="1175"/>
      <c r="AC32" s="1175"/>
      <c r="AD32" s="1175">
        <v>2016</v>
      </c>
      <c r="AE32" s="1175"/>
      <c r="AF32" s="1175"/>
      <c r="AG32" s="1175"/>
      <c r="AH32" s="1175"/>
      <c r="AI32" s="315" t="s">
        <v>688</v>
      </c>
      <c r="AJ32" s="315" t="s">
        <v>689</v>
      </c>
    </row>
    <row r="33" spans="1:36" s="82" customFormat="1" ht="15.75" customHeight="1">
      <c r="A33" s="1163"/>
      <c r="B33" s="1175"/>
      <c r="C33" s="1175"/>
      <c r="D33" s="1175"/>
      <c r="E33" s="1175"/>
      <c r="F33" s="1165"/>
      <c r="G33" s="1165"/>
      <c r="H33" s="1175"/>
      <c r="I33" s="1175"/>
      <c r="J33" s="1175"/>
      <c r="K33" s="1175"/>
      <c r="L33" s="1175" t="s">
        <v>283</v>
      </c>
      <c r="M33" s="1175"/>
      <c r="N33" s="1175"/>
      <c r="O33" s="1175"/>
      <c r="P33" s="1175"/>
      <c r="Q33" s="1175"/>
      <c r="R33" s="1175" t="s">
        <v>283</v>
      </c>
      <c r="S33" s="1175"/>
      <c r="T33" s="1175"/>
      <c r="U33" s="1175"/>
      <c r="V33" s="1175"/>
      <c r="W33" s="1175"/>
      <c r="X33" s="1175" t="s">
        <v>283</v>
      </c>
      <c r="Y33" s="1175"/>
      <c r="Z33" s="1175"/>
      <c r="AA33" s="1175"/>
      <c r="AB33" s="1175"/>
      <c r="AC33" s="1175"/>
      <c r="AD33" s="1175" t="s">
        <v>283</v>
      </c>
      <c r="AE33" s="1175"/>
      <c r="AF33" s="1175"/>
      <c r="AG33" s="1175"/>
      <c r="AH33" s="1175"/>
      <c r="AI33" s="313"/>
      <c r="AJ33" s="316"/>
    </row>
    <row r="34" spans="1:36" s="82" customFormat="1" ht="51">
      <c r="A34" s="1165"/>
      <c r="B34" s="1175"/>
      <c r="C34" s="1175"/>
      <c r="D34" s="1175"/>
      <c r="E34" s="1175"/>
      <c r="F34" s="119" t="s">
        <v>284</v>
      </c>
      <c r="G34" s="119" t="s">
        <v>6</v>
      </c>
      <c r="H34" s="1175"/>
      <c r="I34" s="1175"/>
      <c r="J34" s="1175"/>
      <c r="K34" s="1175"/>
      <c r="L34" s="119" t="s">
        <v>1</v>
      </c>
      <c r="M34" s="119" t="s">
        <v>2</v>
      </c>
      <c r="N34" s="119" t="s">
        <v>285</v>
      </c>
      <c r="O34" s="119" t="s">
        <v>17</v>
      </c>
      <c r="P34" s="119" t="s">
        <v>19</v>
      </c>
      <c r="Q34" s="119" t="s">
        <v>4</v>
      </c>
      <c r="R34" s="119" t="s">
        <v>1</v>
      </c>
      <c r="S34" s="119" t="s">
        <v>2</v>
      </c>
      <c r="T34" s="119" t="s">
        <v>285</v>
      </c>
      <c r="U34" s="119" t="s">
        <v>17</v>
      </c>
      <c r="V34" s="119" t="s">
        <v>19</v>
      </c>
      <c r="W34" s="119" t="s">
        <v>4</v>
      </c>
      <c r="X34" s="119" t="s">
        <v>1</v>
      </c>
      <c r="Y34" s="119" t="s">
        <v>2</v>
      </c>
      <c r="Z34" s="119" t="s">
        <v>285</v>
      </c>
      <c r="AA34" s="119" t="s">
        <v>17</v>
      </c>
      <c r="AB34" s="119" t="s">
        <v>19</v>
      </c>
      <c r="AC34" s="119" t="s">
        <v>4</v>
      </c>
      <c r="AD34" s="119" t="s">
        <v>1</v>
      </c>
      <c r="AE34" s="119" t="s">
        <v>2</v>
      </c>
      <c r="AF34" s="119" t="s">
        <v>285</v>
      </c>
      <c r="AG34" s="119" t="s">
        <v>17</v>
      </c>
      <c r="AH34" s="119" t="s">
        <v>19</v>
      </c>
      <c r="AI34" s="313"/>
      <c r="AJ34" s="313"/>
    </row>
    <row r="35" spans="1:36" s="82" customFormat="1" ht="15.75">
      <c r="A35" s="159"/>
      <c r="B35" s="121" t="s">
        <v>33</v>
      </c>
      <c r="C35" s="121" t="s">
        <v>34</v>
      </c>
      <c r="D35" s="121" t="s">
        <v>45</v>
      </c>
      <c r="E35" s="121" t="s">
        <v>35</v>
      </c>
      <c r="F35" s="121" t="s">
        <v>36</v>
      </c>
      <c r="G35" s="121" t="s">
        <v>37</v>
      </c>
      <c r="H35" s="121" t="s">
        <v>38</v>
      </c>
      <c r="I35" s="121" t="s">
        <v>39</v>
      </c>
      <c r="J35" s="121" t="s">
        <v>40</v>
      </c>
      <c r="K35" s="121" t="s">
        <v>41</v>
      </c>
      <c r="L35" s="119" t="s">
        <v>221</v>
      </c>
      <c r="M35" s="121" t="s">
        <v>222</v>
      </c>
      <c r="N35" s="121" t="s">
        <v>223</v>
      </c>
      <c r="O35" s="119" t="s">
        <v>224</v>
      </c>
      <c r="P35" s="121" t="s">
        <v>225</v>
      </c>
      <c r="Q35" s="121" t="s">
        <v>226</v>
      </c>
      <c r="R35" s="119" t="s">
        <v>227</v>
      </c>
      <c r="S35" s="121" t="s">
        <v>286</v>
      </c>
      <c r="T35" s="121" t="s">
        <v>229</v>
      </c>
      <c r="U35" s="119" t="s">
        <v>230</v>
      </c>
      <c r="V35" s="121" t="s">
        <v>231</v>
      </c>
      <c r="W35" s="121" t="s">
        <v>232</v>
      </c>
      <c r="X35" s="119" t="s">
        <v>233</v>
      </c>
      <c r="Y35" s="121" t="s">
        <v>234</v>
      </c>
      <c r="Z35" s="121" t="s">
        <v>235</v>
      </c>
      <c r="AA35" s="119" t="s">
        <v>236</v>
      </c>
      <c r="AB35" s="121" t="s">
        <v>237</v>
      </c>
      <c r="AC35" s="121" t="s">
        <v>238</v>
      </c>
      <c r="AD35" s="119" t="s">
        <v>239</v>
      </c>
      <c r="AE35" s="121" t="s">
        <v>240</v>
      </c>
      <c r="AF35" s="121" t="s">
        <v>241</v>
      </c>
      <c r="AG35" s="119" t="s">
        <v>242</v>
      </c>
      <c r="AH35" s="121" t="s">
        <v>243</v>
      </c>
      <c r="AI35" s="400"/>
      <c r="AJ35" s="313"/>
    </row>
    <row r="36" spans="1:36" s="82" customFormat="1" ht="15.75">
      <c r="A36" s="160" t="s">
        <v>287</v>
      </c>
      <c r="B36" s="860"/>
      <c r="C36" s="860"/>
      <c r="D36" s="860"/>
      <c r="E36" s="860"/>
      <c r="F36" s="860"/>
      <c r="G36" s="860"/>
      <c r="H36" s="860"/>
      <c r="I36" s="860"/>
      <c r="J36" s="860"/>
      <c r="K36" s="860"/>
      <c r="L36" s="860"/>
      <c r="M36" s="860"/>
      <c r="N36" s="860"/>
      <c r="O36" s="860"/>
      <c r="P36" s="860"/>
      <c r="Q36" s="860">
        <f>SUM(L36:P36)</f>
        <v>0</v>
      </c>
      <c r="R36" s="860"/>
      <c r="S36" s="860"/>
      <c r="T36" s="860"/>
      <c r="U36" s="860"/>
      <c r="V36" s="860"/>
      <c r="W36" s="860"/>
      <c r="X36" s="860"/>
      <c r="Y36" s="860"/>
      <c r="Z36" s="860"/>
      <c r="AA36" s="860"/>
      <c r="AB36" s="860"/>
      <c r="AC36" s="860"/>
      <c r="AD36" s="860"/>
      <c r="AE36" s="860"/>
      <c r="AF36" s="860"/>
      <c r="AG36" s="860"/>
      <c r="AH36" s="860"/>
      <c r="AI36" s="400"/>
      <c r="AJ36" s="313"/>
    </row>
    <row r="37" spans="1:36" s="82" customFormat="1" ht="25.5">
      <c r="A37" s="160" t="s">
        <v>288</v>
      </c>
      <c r="B37" s="859"/>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59"/>
      <c r="AI37" s="400">
        <f>SUM(AD37:AH37)</f>
        <v>0</v>
      </c>
      <c r="AJ37" s="313"/>
    </row>
    <row r="38" spans="1:36" s="82" customFormat="1" ht="15.75">
      <c r="A38" s="161"/>
      <c r="B38" s="861"/>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400">
        <f t="shared" ref="AI38:AI64" si="5">SUM(AD38:AH38)</f>
        <v>0</v>
      </c>
      <c r="AJ38" s="313"/>
    </row>
    <row r="39" spans="1:36" s="82" customFormat="1" ht="15.75">
      <c r="A39" s="160" t="s">
        <v>289</v>
      </c>
      <c r="B39" s="859"/>
      <c r="C39" s="859"/>
      <c r="D39" s="859"/>
      <c r="E39" s="859"/>
      <c r="F39" s="859"/>
      <c r="G39" s="859"/>
      <c r="H39" s="859"/>
      <c r="I39" s="859"/>
      <c r="J39" s="859"/>
      <c r="K39" s="859"/>
      <c r="L39" s="859"/>
      <c r="M39" s="859"/>
      <c r="N39" s="859"/>
      <c r="O39" s="859"/>
      <c r="P39" s="859"/>
      <c r="Q39" s="859">
        <f>SUM(L39:P39)</f>
        <v>0</v>
      </c>
      <c r="R39" s="859"/>
      <c r="S39" s="859"/>
      <c r="T39" s="859"/>
      <c r="U39" s="859"/>
      <c r="V39" s="859"/>
      <c r="W39" s="859"/>
      <c r="X39" s="859"/>
      <c r="Y39" s="859"/>
      <c r="Z39" s="859"/>
      <c r="AA39" s="859"/>
      <c r="AB39" s="859"/>
      <c r="AC39" s="859"/>
      <c r="AD39" s="859"/>
      <c r="AE39" s="859"/>
      <c r="AF39" s="859"/>
      <c r="AG39" s="859"/>
      <c r="AH39" s="859"/>
      <c r="AI39" s="400">
        <f t="shared" si="5"/>
        <v>0</v>
      </c>
      <c r="AJ39" s="313"/>
    </row>
    <row r="40" spans="1:36" s="82" customFormat="1" ht="25.5">
      <c r="A40" s="160" t="s">
        <v>290</v>
      </c>
      <c r="B40" s="859"/>
      <c r="C40" s="859"/>
      <c r="D40" s="859"/>
      <c r="E40" s="859"/>
      <c r="F40" s="859"/>
      <c r="G40" s="859"/>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400">
        <f t="shared" si="5"/>
        <v>0</v>
      </c>
      <c r="AJ40" s="313"/>
    </row>
    <row r="41" spans="1:36" s="82" customFormat="1" ht="15.75">
      <c r="A41" s="160" t="s">
        <v>291</v>
      </c>
      <c r="B41" s="859"/>
      <c r="C41" s="859"/>
      <c r="D41" s="859"/>
      <c r="E41" s="859"/>
      <c r="F41" s="859"/>
      <c r="G41" s="859"/>
      <c r="H41" s="859"/>
      <c r="I41" s="859"/>
      <c r="J41" s="859"/>
      <c r="K41" s="859"/>
      <c r="L41" s="866"/>
      <c r="M41" s="866"/>
      <c r="N41" s="866"/>
      <c r="O41" s="866"/>
      <c r="P41" s="866"/>
      <c r="Q41" s="866"/>
      <c r="R41" s="866"/>
      <c r="S41" s="866"/>
      <c r="T41" s="866"/>
      <c r="U41" s="866"/>
      <c r="V41" s="866"/>
      <c r="W41" s="866"/>
      <c r="X41" s="866"/>
      <c r="Y41" s="866"/>
      <c r="Z41" s="866"/>
      <c r="AA41" s="866"/>
      <c r="AB41" s="866"/>
      <c r="AC41" s="866"/>
      <c r="AD41" s="866"/>
      <c r="AE41" s="866"/>
      <c r="AF41" s="866"/>
      <c r="AG41" s="866"/>
      <c r="AH41" s="866"/>
      <c r="AI41" s="400">
        <f t="shared" si="5"/>
        <v>0</v>
      </c>
      <c r="AJ41" s="313"/>
    </row>
    <row r="42" spans="1:36" s="82" customFormat="1" ht="15.75">
      <c r="A42" s="161"/>
      <c r="B42" s="861"/>
      <c r="C42" s="861"/>
      <c r="D42" s="861"/>
      <c r="E42" s="861"/>
      <c r="F42" s="861"/>
      <c r="G42" s="861"/>
      <c r="H42" s="861"/>
      <c r="I42" s="861"/>
      <c r="J42" s="861"/>
      <c r="K42" s="861"/>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400">
        <f t="shared" si="5"/>
        <v>0</v>
      </c>
      <c r="AJ42" s="313"/>
    </row>
    <row r="43" spans="1:36" s="82" customFormat="1" ht="15.75">
      <c r="A43" s="160" t="s">
        <v>292</v>
      </c>
      <c r="B43" s="859"/>
      <c r="C43" s="859"/>
      <c r="D43" s="859"/>
      <c r="E43" s="859"/>
      <c r="F43" s="859"/>
      <c r="G43" s="859"/>
      <c r="H43" s="859"/>
      <c r="I43" s="859"/>
      <c r="J43" s="859"/>
      <c r="K43" s="859"/>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400">
        <f t="shared" si="5"/>
        <v>0</v>
      </c>
      <c r="AJ43" s="313"/>
    </row>
    <row r="44" spans="1:36" s="82" customFormat="1" ht="15.75">
      <c r="A44" s="161"/>
      <c r="B44" s="861"/>
      <c r="C44" s="861"/>
      <c r="D44" s="861"/>
      <c r="E44" s="861"/>
      <c r="F44" s="861"/>
      <c r="G44" s="861"/>
      <c r="H44" s="861"/>
      <c r="I44" s="861"/>
      <c r="J44" s="861"/>
      <c r="K44" s="861"/>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400">
        <f t="shared" si="5"/>
        <v>0</v>
      </c>
      <c r="AJ44" s="313"/>
    </row>
    <row r="45" spans="1:36" s="82" customFormat="1" ht="15.75">
      <c r="A45" s="160" t="s">
        <v>293</v>
      </c>
      <c r="B45" s="859"/>
      <c r="C45" s="859"/>
      <c r="D45" s="1163"/>
      <c r="E45" s="859"/>
      <c r="F45" s="859"/>
      <c r="G45" s="859"/>
      <c r="H45" s="859"/>
      <c r="I45" s="859"/>
      <c r="J45" s="859"/>
      <c r="K45" s="859"/>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c r="AI45" s="400">
        <f t="shared" si="5"/>
        <v>0</v>
      </c>
      <c r="AJ45" s="313"/>
    </row>
    <row r="46" spans="1:36" s="82" customFormat="1" ht="15.75">
      <c r="A46" s="160"/>
      <c r="B46" s="859"/>
      <c r="C46" s="859"/>
      <c r="D46" s="1163"/>
      <c r="E46" s="859"/>
      <c r="F46" s="859"/>
      <c r="G46" s="859"/>
      <c r="H46" s="859"/>
      <c r="I46" s="859"/>
      <c r="J46" s="859"/>
      <c r="K46" s="859"/>
      <c r="L46" s="866"/>
      <c r="M46" s="866"/>
      <c r="N46" s="866"/>
      <c r="O46" s="866"/>
      <c r="P46" s="866"/>
      <c r="Q46" s="866"/>
      <c r="R46" s="866"/>
      <c r="S46" s="866"/>
      <c r="T46" s="866"/>
      <c r="U46" s="866"/>
      <c r="V46" s="866"/>
      <c r="W46" s="866"/>
      <c r="X46" s="866"/>
      <c r="Y46" s="866"/>
      <c r="Z46" s="866"/>
      <c r="AA46" s="866"/>
      <c r="AB46" s="866"/>
      <c r="AC46" s="866"/>
      <c r="AD46" s="866"/>
      <c r="AE46" s="866"/>
      <c r="AF46" s="866"/>
      <c r="AG46" s="866"/>
      <c r="AH46" s="866"/>
      <c r="AI46" s="400">
        <f t="shared" si="5"/>
        <v>0</v>
      </c>
      <c r="AJ46" s="313"/>
    </row>
    <row r="47" spans="1:36" s="82" customFormat="1" ht="25.5">
      <c r="A47" s="162" t="s">
        <v>294</v>
      </c>
      <c r="B47" s="859"/>
      <c r="C47" s="859"/>
      <c r="D47" s="859"/>
      <c r="E47" s="859"/>
      <c r="F47" s="859"/>
      <c r="G47" s="859"/>
      <c r="H47" s="859"/>
      <c r="I47" s="859"/>
      <c r="J47" s="859"/>
      <c r="K47" s="859"/>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400">
        <f t="shared" si="5"/>
        <v>0</v>
      </c>
      <c r="AJ47" s="313"/>
    </row>
    <row r="48" spans="1:36" s="82" customFormat="1" ht="15.75">
      <c r="A48" s="162" t="s">
        <v>295</v>
      </c>
      <c r="B48" s="859"/>
      <c r="C48" s="859"/>
      <c r="D48" s="859"/>
      <c r="E48" s="859"/>
      <c r="F48" s="859"/>
      <c r="G48" s="859"/>
      <c r="H48" s="859"/>
      <c r="I48" s="859"/>
      <c r="J48" s="859"/>
      <c r="K48" s="859"/>
      <c r="L48" s="866"/>
      <c r="M48" s="866"/>
      <c r="N48" s="866"/>
      <c r="O48" s="866"/>
      <c r="P48" s="866"/>
      <c r="Q48" s="866"/>
      <c r="R48" s="866"/>
      <c r="S48" s="866"/>
      <c r="T48" s="866"/>
      <c r="U48" s="866"/>
      <c r="V48" s="866"/>
      <c r="W48" s="866"/>
      <c r="X48" s="866"/>
      <c r="Y48" s="866"/>
      <c r="Z48" s="866"/>
      <c r="AA48" s="866"/>
      <c r="AB48" s="866"/>
      <c r="AC48" s="866"/>
      <c r="AD48" s="866"/>
      <c r="AE48" s="866"/>
      <c r="AF48" s="866"/>
      <c r="AG48" s="866"/>
      <c r="AH48" s="866"/>
      <c r="AI48" s="400">
        <f t="shared" si="5"/>
        <v>0</v>
      </c>
      <c r="AJ48" s="313"/>
    </row>
    <row r="49" spans="1:37" s="82" customFormat="1" ht="15.75">
      <c r="A49" s="163"/>
      <c r="B49" s="861"/>
      <c r="C49" s="861"/>
      <c r="D49" s="861"/>
      <c r="E49" s="861"/>
      <c r="F49" s="861"/>
      <c r="G49" s="861"/>
      <c r="H49" s="861"/>
      <c r="I49" s="861"/>
      <c r="J49" s="861"/>
      <c r="K49" s="861"/>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400">
        <f t="shared" si="5"/>
        <v>0</v>
      </c>
      <c r="AJ49" s="313"/>
    </row>
    <row r="50" spans="1:37" s="82" customFormat="1" ht="25.5">
      <c r="A50" s="164" t="s">
        <v>296</v>
      </c>
      <c r="B50" s="844"/>
      <c r="C50" s="844"/>
      <c r="D50" s="844"/>
      <c r="E50" s="844"/>
      <c r="F50" s="844"/>
      <c r="G50" s="844"/>
      <c r="H50" s="844"/>
      <c r="I50" s="127"/>
      <c r="J50" s="844"/>
      <c r="K50" s="844"/>
      <c r="L50" s="128"/>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400">
        <f t="shared" si="5"/>
        <v>0</v>
      </c>
      <c r="AJ50" s="313"/>
    </row>
    <row r="51" spans="1:37" s="82" customFormat="1" ht="63.75" customHeight="1">
      <c r="A51" s="162" t="s">
        <v>297</v>
      </c>
      <c r="B51" s="859"/>
      <c r="C51" s="859"/>
      <c r="D51" s="859" t="s">
        <v>277</v>
      </c>
      <c r="E51" s="860" t="s">
        <v>85</v>
      </c>
      <c r="F51" s="859"/>
      <c r="G51" s="859"/>
      <c r="H51" s="859" t="s">
        <v>310</v>
      </c>
      <c r="I51" s="867" t="s">
        <v>298</v>
      </c>
      <c r="J51" s="859" t="s">
        <v>299</v>
      </c>
      <c r="K51" s="859"/>
      <c r="L51" s="131">
        <v>500</v>
      </c>
      <c r="M51" s="866"/>
      <c r="N51" s="866"/>
      <c r="O51" s="866"/>
      <c r="P51" s="866"/>
      <c r="Q51" s="865">
        <f>SUM(L51:P51)</f>
        <v>500</v>
      </c>
      <c r="R51" s="865">
        <v>5000</v>
      </c>
      <c r="S51" s="866"/>
      <c r="T51" s="866"/>
      <c r="U51" s="865">
        <v>5000</v>
      </c>
      <c r="V51" s="866"/>
      <c r="W51" s="865">
        <f>SUM(R51:V51)</f>
        <v>10000</v>
      </c>
      <c r="X51" s="865">
        <v>10500</v>
      </c>
      <c r="Y51" s="866"/>
      <c r="Z51" s="866"/>
      <c r="AA51" s="865">
        <v>10500</v>
      </c>
      <c r="AB51" s="866"/>
      <c r="AC51" s="865">
        <f>SUM(X51:AB51)</f>
        <v>21000</v>
      </c>
      <c r="AD51" s="865">
        <v>12500</v>
      </c>
      <c r="AE51" s="865"/>
      <c r="AF51" s="865">
        <v>10000</v>
      </c>
      <c r="AG51" s="865">
        <v>12500</v>
      </c>
      <c r="AH51" s="866"/>
      <c r="AI51" s="400">
        <f>SUM(AD51:AH51)</f>
        <v>35000</v>
      </c>
      <c r="AJ51" s="313"/>
    </row>
    <row r="52" spans="1:37" s="82" customFormat="1" ht="15.75">
      <c r="A52" s="163"/>
      <c r="B52" s="861"/>
      <c r="C52" s="861"/>
      <c r="D52" s="861"/>
      <c r="E52" s="861"/>
      <c r="F52" s="861"/>
      <c r="G52" s="861"/>
      <c r="H52" s="861"/>
      <c r="I52" s="861"/>
      <c r="J52" s="861"/>
      <c r="K52" s="861"/>
      <c r="L52" s="125"/>
      <c r="M52" s="125"/>
      <c r="N52" s="125"/>
      <c r="O52" s="125"/>
      <c r="P52" s="125"/>
      <c r="Q52" s="133"/>
      <c r="R52" s="125"/>
      <c r="S52" s="125"/>
      <c r="T52" s="125"/>
      <c r="U52" s="125"/>
      <c r="V52" s="125"/>
      <c r="W52" s="133"/>
      <c r="X52" s="125"/>
      <c r="Y52" s="125"/>
      <c r="Z52" s="125"/>
      <c r="AA52" s="125"/>
      <c r="AB52" s="125"/>
      <c r="AC52" s="133"/>
      <c r="AD52" s="125"/>
      <c r="AE52" s="125"/>
      <c r="AF52" s="125"/>
      <c r="AG52" s="125"/>
      <c r="AH52" s="125"/>
      <c r="AI52" s="400">
        <f t="shared" si="5"/>
        <v>0</v>
      </c>
      <c r="AJ52" s="313"/>
    </row>
    <row r="53" spans="1:37" s="82" customFormat="1" ht="25.5">
      <c r="A53" s="162" t="s">
        <v>300</v>
      </c>
      <c r="B53" s="859"/>
      <c r="C53" s="859"/>
      <c r="D53" s="1164" t="s">
        <v>277</v>
      </c>
      <c r="E53" s="1164" t="s">
        <v>92</v>
      </c>
      <c r="F53" s="1164"/>
      <c r="G53" s="1164"/>
      <c r="H53" s="1164" t="s">
        <v>311</v>
      </c>
      <c r="I53" s="1173" t="s">
        <v>298</v>
      </c>
      <c r="J53" s="1164" t="s">
        <v>299</v>
      </c>
      <c r="K53" s="1164"/>
      <c r="L53" s="1156">
        <v>1000</v>
      </c>
      <c r="M53" s="1161"/>
      <c r="N53" s="1161"/>
      <c r="O53" s="1170"/>
      <c r="P53" s="1156">
        <v>500</v>
      </c>
      <c r="Q53" s="1156">
        <f>SUM(L53:P55)</f>
        <v>1500</v>
      </c>
      <c r="R53" s="1156">
        <v>6500</v>
      </c>
      <c r="S53" s="1161"/>
      <c r="T53" s="1161"/>
      <c r="U53" s="1156">
        <v>6500</v>
      </c>
      <c r="V53" s="1156">
        <v>500</v>
      </c>
      <c r="W53" s="1156">
        <f>SUM(R53:V55)</f>
        <v>13500</v>
      </c>
      <c r="X53" s="1156">
        <v>8500</v>
      </c>
      <c r="Y53" s="1161"/>
      <c r="Z53" s="1161"/>
      <c r="AA53" s="1156">
        <v>10000</v>
      </c>
      <c r="AB53" s="1156">
        <v>500</v>
      </c>
      <c r="AC53" s="1156">
        <f>SUM(X53:AB55)</f>
        <v>19000</v>
      </c>
      <c r="AD53" s="1156">
        <v>10000</v>
      </c>
      <c r="AE53" s="1161"/>
      <c r="AF53" s="1161"/>
      <c r="AG53" s="1156">
        <v>20000</v>
      </c>
      <c r="AH53" s="1156">
        <v>500</v>
      </c>
      <c r="AI53" s="400">
        <f>SUM(AD53:AH53)</f>
        <v>30500</v>
      </c>
      <c r="AJ53" s="319"/>
    </row>
    <row r="54" spans="1:37" s="82" customFormat="1" ht="25.5">
      <c r="A54" s="162" t="s">
        <v>301</v>
      </c>
      <c r="B54" s="859"/>
      <c r="C54" s="859"/>
      <c r="D54" s="1163"/>
      <c r="E54" s="1163"/>
      <c r="F54" s="1163"/>
      <c r="G54" s="1163"/>
      <c r="H54" s="1163"/>
      <c r="I54" s="1174"/>
      <c r="J54" s="1163"/>
      <c r="K54" s="1163"/>
      <c r="L54" s="1157"/>
      <c r="M54" s="1162"/>
      <c r="N54" s="1162"/>
      <c r="O54" s="1171"/>
      <c r="P54" s="1157"/>
      <c r="Q54" s="1157"/>
      <c r="R54" s="1157"/>
      <c r="S54" s="1162"/>
      <c r="T54" s="1162"/>
      <c r="U54" s="1157"/>
      <c r="V54" s="1157"/>
      <c r="W54" s="1157"/>
      <c r="X54" s="1157"/>
      <c r="Y54" s="1162"/>
      <c r="Z54" s="1162"/>
      <c r="AA54" s="1157"/>
      <c r="AB54" s="1157"/>
      <c r="AC54" s="1157"/>
      <c r="AD54" s="1157"/>
      <c r="AE54" s="1162"/>
      <c r="AF54" s="1162"/>
      <c r="AG54" s="1157"/>
      <c r="AH54" s="1159"/>
      <c r="AI54" s="400">
        <f t="shared" si="5"/>
        <v>0</v>
      </c>
      <c r="AJ54" s="319"/>
    </row>
    <row r="55" spans="1:37" s="82" customFormat="1" ht="15.75">
      <c r="A55" s="162" t="s">
        <v>302</v>
      </c>
      <c r="B55" s="859"/>
      <c r="C55" s="859"/>
      <c r="D55" s="1163"/>
      <c r="E55" s="1163"/>
      <c r="F55" s="1163"/>
      <c r="G55" s="1163"/>
      <c r="H55" s="1163"/>
      <c r="I55" s="1174"/>
      <c r="J55" s="1163"/>
      <c r="K55" s="1163"/>
      <c r="L55" s="1158"/>
      <c r="M55" s="1163"/>
      <c r="N55" s="1163"/>
      <c r="O55" s="1172"/>
      <c r="P55" s="1158"/>
      <c r="Q55" s="1157"/>
      <c r="R55" s="1158"/>
      <c r="S55" s="1163"/>
      <c r="T55" s="1163"/>
      <c r="U55" s="1158"/>
      <c r="V55" s="1158"/>
      <c r="W55" s="1157"/>
      <c r="X55" s="1158"/>
      <c r="Y55" s="1163"/>
      <c r="Z55" s="1163"/>
      <c r="AA55" s="1158"/>
      <c r="AB55" s="1158"/>
      <c r="AC55" s="1157"/>
      <c r="AD55" s="1158"/>
      <c r="AE55" s="1163"/>
      <c r="AF55" s="1163"/>
      <c r="AG55" s="1158"/>
      <c r="AH55" s="1160"/>
      <c r="AI55" s="400">
        <f t="shared" si="5"/>
        <v>0</v>
      </c>
      <c r="AJ55" s="313"/>
    </row>
    <row r="56" spans="1:37" s="82" customFormat="1" ht="15.75">
      <c r="A56" s="160" t="s">
        <v>303</v>
      </c>
      <c r="B56" s="859"/>
      <c r="C56" s="859"/>
      <c r="D56" s="859"/>
      <c r="E56" s="859"/>
      <c r="F56" s="859"/>
      <c r="G56" s="859"/>
      <c r="H56" s="859"/>
      <c r="I56" s="859"/>
      <c r="J56" s="859"/>
      <c r="K56" s="859"/>
      <c r="L56" s="866"/>
      <c r="M56" s="866"/>
      <c r="N56" s="866"/>
      <c r="O56" s="866"/>
      <c r="P56" s="866"/>
      <c r="Q56" s="863"/>
      <c r="R56" s="866"/>
      <c r="S56" s="866"/>
      <c r="T56" s="866"/>
      <c r="U56" s="866"/>
      <c r="V56" s="866"/>
      <c r="W56" s="866"/>
      <c r="X56" s="866"/>
      <c r="Y56" s="866"/>
      <c r="Z56" s="866"/>
      <c r="AA56" s="866"/>
      <c r="AB56" s="866"/>
      <c r="AC56" s="866"/>
      <c r="AD56" s="866"/>
      <c r="AE56" s="866"/>
      <c r="AF56" s="866"/>
      <c r="AG56" s="866"/>
      <c r="AH56" s="866"/>
      <c r="AI56" s="400">
        <f t="shared" si="5"/>
        <v>0</v>
      </c>
      <c r="AJ56" s="313"/>
    </row>
    <row r="57" spans="1:37" s="82" customFormat="1" ht="15.75">
      <c r="A57" s="160" t="s">
        <v>304</v>
      </c>
      <c r="B57" s="859"/>
      <c r="C57" s="859"/>
      <c r="D57" s="859"/>
      <c r="E57" s="859"/>
      <c r="F57" s="859"/>
      <c r="G57" s="859"/>
      <c r="H57" s="859"/>
      <c r="I57" s="859"/>
      <c r="J57" s="859"/>
      <c r="K57" s="859"/>
      <c r="L57" s="866"/>
      <c r="M57" s="866"/>
      <c r="N57" s="866"/>
      <c r="O57" s="866"/>
      <c r="P57" s="866"/>
      <c r="Q57" s="863"/>
      <c r="R57" s="866"/>
      <c r="S57" s="866"/>
      <c r="T57" s="866"/>
      <c r="U57" s="866"/>
      <c r="V57" s="866"/>
      <c r="W57" s="866"/>
      <c r="X57" s="866"/>
      <c r="Y57" s="866"/>
      <c r="Z57" s="866"/>
      <c r="AA57" s="866"/>
      <c r="AB57" s="866"/>
      <c r="AC57" s="866"/>
      <c r="AD57" s="866"/>
      <c r="AE57" s="866"/>
      <c r="AF57" s="866"/>
      <c r="AG57" s="866"/>
      <c r="AH57" s="866"/>
      <c r="AI57" s="400">
        <f t="shared" si="5"/>
        <v>0</v>
      </c>
      <c r="AJ57" s="313"/>
    </row>
    <row r="58" spans="1:37" s="82" customFormat="1" ht="15.75">
      <c r="A58" s="160" t="s">
        <v>292</v>
      </c>
      <c r="B58" s="859"/>
      <c r="C58" s="859"/>
      <c r="D58" s="859"/>
      <c r="E58" s="859"/>
      <c r="F58" s="859"/>
      <c r="G58" s="859"/>
      <c r="H58" s="859"/>
      <c r="I58" s="859"/>
      <c r="J58" s="859"/>
      <c r="K58" s="859"/>
      <c r="L58" s="859"/>
      <c r="M58" s="859"/>
      <c r="N58" s="859"/>
      <c r="O58" s="859"/>
      <c r="P58" s="859"/>
      <c r="Q58" s="864"/>
      <c r="R58" s="859"/>
      <c r="S58" s="859"/>
      <c r="T58" s="859"/>
      <c r="U58" s="859"/>
      <c r="V58" s="859"/>
      <c r="W58" s="859"/>
      <c r="X58" s="859"/>
      <c r="Y58" s="859"/>
      <c r="Z58" s="859"/>
      <c r="AA58" s="859"/>
      <c r="AB58" s="859"/>
      <c r="AC58" s="859"/>
      <c r="AD58" s="859"/>
      <c r="AE58" s="859"/>
      <c r="AF58" s="859"/>
      <c r="AG58" s="859"/>
      <c r="AH58" s="859"/>
      <c r="AI58" s="400">
        <f t="shared" si="5"/>
        <v>0</v>
      </c>
      <c r="AJ58" s="313"/>
    </row>
    <row r="59" spans="1:37" s="82" customFormat="1" ht="15.75">
      <c r="A59" s="160" t="s">
        <v>293</v>
      </c>
      <c r="B59" s="859"/>
      <c r="C59" s="859"/>
      <c r="D59" s="859"/>
      <c r="E59" s="859"/>
      <c r="F59" s="859"/>
      <c r="G59" s="859"/>
      <c r="H59" s="859"/>
      <c r="I59" s="859"/>
      <c r="J59" s="859"/>
      <c r="K59" s="859"/>
      <c r="L59" s="859"/>
      <c r="M59" s="859"/>
      <c r="N59" s="859"/>
      <c r="O59" s="859"/>
      <c r="P59" s="859"/>
      <c r="Q59" s="864"/>
      <c r="R59" s="859"/>
      <c r="S59" s="859"/>
      <c r="T59" s="859"/>
      <c r="U59" s="859"/>
      <c r="V59" s="859"/>
      <c r="W59" s="859"/>
      <c r="X59" s="859"/>
      <c r="Y59" s="859"/>
      <c r="Z59" s="859"/>
      <c r="AA59" s="859"/>
      <c r="AB59" s="859"/>
      <c r="AC59" s="859"/>
      <c r="AD59" s="859"/>
      <c r="AE59" s="859"/>
      <c r="AF59" s="859"/>
      <c r="AG59" s="859"/>
      <c r="AH59" s="859"/>
      <c r="AI59" s="400">
        <f t="shared" si="5"/>
        <v>0</v>
      </c>
      <c r="AJ59" s="313"/>
    </row>
    <row r="60" spans="1:37" s="82" customFormat="1" ht="25.5">
      <c r="A60" s="162" t="s">
        <v>294</v>
      </c>
      <c r="B60" s="859"/>
      <c r="C60" s="859"/>
      <c r="D60" s="859"/>
      <c r="E60" s="859"/>
      <c r="F60" s="859"/>
      <c r="G60" s="859"/>
      <c r="H60" s="859"/>
      <c r="I60" s="859"/>
      <c r="J60" s="859"/>
      <c r="K60" s="859"/>
      <c r="L60" s="859"/>
      <c r="M60" s="859"/>
      <c r="N60" s="859"/>
      <c r="O60" s="859"/>
      <c r="P60" s="859"/>
      <c r="Q60" s="864"/>
      <c r="R60" s="859"/>
      <c r="S60" s="859"/>
      <c r="T60" s="859"/>
      <c r="U60" s="859"/>
      <c r="V60" s="859"/>
      <c r="W60" s="859"/>
      <c r="X60" s="859"/>
      <c r="Y60" s="859"/>
      <c r="Z60" s="859"/>
      <c r="AA60" s="859"/>
      <c r="AB60" s="859"/>
      <c r="AC60" s="859"/>
      <c r="AD60" s="859"/>
      <c r="AE60" s="859"/>
      <c r="AF60" s="859"/>
      <c r="AG60" s="859"/>
      <c r="AH60" s="859"/>
      <c r="AI60" s="400">
        <f t="shared" si="5"/>
        <v>0</v>
      </c>
      <c r="AJ60" s="313"/>
    </row>
    <row r="61" spans="1:37" s="82" customFormat="1" ht="15.75">
      <c r="A61" s="162" t="s">
        <v>295</v>
      </c>
      <c r="B61" s="859"/>
      <c r="C61" s="859"/>
      <c r="D61" s="859"/>
      <c r="E61" s="859"/>
      <c r="F61" s="859"/>
      <c r="G61" s="859"/>
      <c r="H61" s="859"/>
      <c r="I61" s="859"/>
      <c r="J61" s="859"/>
      <c r="K61" s="859"/>
      <c r="L61" s="859"/>
      <c r="M61" s="859"/>
      <c r="N61" s="859"/>
      <c r="O61" s="859"/>
      <c r="P61" s="859"/>
      <c r="Q61" s="864"/>
      <c r="R61" s="859"/>
      <c r="S61" s="859"/>
      <c r="T61" s="859"/>
      <c r="U61" s="859"/>
      <c r="V61" s="859"/>
      <c r="W61" s="859"/>
      <c r="X61" s="859"/>
      <c r="Y61" s="859"/>
      <c r="Z61" s="859"/>
      <c r="AA61" s="859"/>
      <c r="AB61" s="859"/>
      <c r="AC61" s="859"/>
      <c r="AD61" s="859"/>
      <c r="AE61" s="859"/>
      <c r="AF61" s="859"/>
      <c r="AG61" s="859"/>
      <c r="AH61" s="859"/>
      <c r="AI61" s="400">
        <f t="shared" si="5"/>
        <v>0</v>
      </c>
      <c r="AJ61" s="313"/>
    </row>
    <row r="62" spans="1:37" s="82" customFormat="1" ht="25.5">
      <c r="A62" s="160" t="s">
        <v>305</v>
      </c>
      <c r="B62" s="859"/>
      <c r="C62" s="859"/>
      <c r="D62" s="859"/>
      <c r="E62" s="859"/>
      <c r="F62" s="859"/>
      <c r="G62" s="859"/>
      <c r="H62" s="859"/>
      <c r="I62" s="859"/>
      <c r="J62" s="859"/>
      <c r="K62" s="859"/>
      <c r="L62" s="859"/>
      <c r="M62" s="859"/>
      <c r="N62" s="859"/>
      <c r="O62" s="859"/>
      <c r="P62" s="859"/>
      <c r="Q62" s="864"/>
      <c r="R62" s="859"/>
      <c r="S62" s="859"/>
      <c r="T62" s="859"/>
      <c r="U62" s="859"/>
      <c r="V62" s="859"/>
      <c r="W62" s="859"/>
      <c r="X62" s="859"/>
      <c r="Y62" s="859"/>
      <c r="Z62" s="859"/>
      <c r="AA62" s="859"/>
      <c r="AB62" s="859"/>
      <c r="AC62" s="859"/>
      <c r="AD62" s="859"/>
      <c r="AE62" s="859"/>
      <c r="AF62" s="859"/>
      <c r="AG62" s="859"/>
      <c r="AH62" s="859"/>
      <c r="AI62" s="400">
        <f t="shared" si="5"/>
        <v>0</v>
      </c>
      <c r="AJ62" s="313"/>
    </row>
    <row r="63" spans="1:37" s="82" customFormat="1" ht="15.75">
      <c r="A63" s="161" t="s">
        <v>306</v>
      </c>
      <c r="B63" s="861"/>
      <c r="C63" s="861"/>
      <c r="D63" s="861"/>
      <c r="E63" s="861"/>
      <c r="F63" s="861"/>
      <c r="G63" s="861"/>
      <c r="H63" s="861"/>
      <c r="I63" s="861"/>
      <c r="J63" s="861"/>
      <c r="K63" s="861"/>
      <c r="L63" s="861"/>
      <c r="M63" s="861"/>
      <c r="N63" s="861"/>
      <c r="O63" s="861"/>
      <c r="P63" s="861"/>
      <c r="Q63" s="136"/>
      <c r="R63" s="861"/>
      <c r="S63" s="861"/>
      <c r="T63" s="861"/>
      <c r="U63" s="861"/>
      <c r="V63" s="861"/>
      <c r="W63" s="861"/>
      <c r="X63" s="861"/>
      <c r="Y63" s="861"/>
      <c r="Z63" s="861"/>
      <c r="AA63" s="861"/>
      <c r="AB63" s="861"/>
      <c r="AC63" s="861"/>
      <c r="AD63" s="861"/>
      <c r="AE63" s="861"/>
      <c r="AF63" s="861"/>
      <c r="AG63" s="861"/>
      <c r="AH63" s="861"/>
      <c r="AI63" s="400">
        <f t="shared" si="5"/>
        <v>0</v>
      </c>
      <c r="AJ63" s="313"/>
    </row>
    <row r="64" spans="1:37" s="82" customFormat="1" ht="63.75">
      <c r="A64" s="164" t="s">
        <v>307</v>
      </c>
      <c r="B64" s="1164"/>
      <c r="C64" s="844"/>
      <c r="D64" s="844" t="s">
        <v>277</v>
      </c>
      <c r="E64" s="844" t="s">
        <v>95</v>
      </c>
      <c r="F64" s="844" t="s">
        <v>96</v>
      </c>
      <c r="G64" s="844"/>
      <c r="H64" s="844" t="s">
        <v>311</v>
      </c>
      <c r="I64" s="844" t="s">
        <v>308</v>
      </c>
      <c r="J64" s="844" t="s">
        <v>299</v>
      </c>
      <c r="K64" s="844"/>
      <c r="L64" s="320"/>
      <c r="M64" s="129"/>
      <c r="N64" s="129"/>
      <c r="O64" s="129"/>
      <c r="P64" s="129"/>
      <c r="Q64" s="320"/>
      <c r="R64" s="320">
        <v>56778</v>
      </c>
      <c r="S64" s="129"/>
      <c r="T64" s="129"/>
      <c r="U64" s="129"/>
      <c r="V64" s="129"/>
      <c r="W64" s="320">
        <v>56778</v>
      </c>
      <c r="X64" s="129"/>
      <c r="Y64" s="129"/>
      <c r="Z64" s="129"/>
      <c r="AA64" s="129"/>
      <c r="AB64" s="129"/>
      <c r="AC64" s="320"/>
      <c r="AD64" s="129"/>
      <c r="AE64" s="129"/>
      <c r="AF64" s="129"/>
      <c r="AG64" s="129"/>
      <c r="AH64" s="129"/>
      <c r="AI64" s="400">
        <f t="shared" si="5"/>
        <v>0</v>
      </c>
      <c r="AJ64" s="314"/>
      <c r="AK64" s="395">
        <f>SUM(AD65:AH65)</f>
        <v>65500</v>
      </c>
    </row>
    <row r="65" spans="1:37" s="82" customFormat="1" ht="15.75">
      <c r="A65" s="163" t="s">
        <v>690</v>
      </c>
      <c r="B65" s="1165"/>
      <c r="C65" s="844"/>
      <c r="D65" s="844"/>
      <c r="E65" s="844"/>
      <c r="F65" s="844"/>
      <c r="G65" s="844"/>
      <c r="H65" s="844"/>
      <c r="I65" s="844"/>
      <c r="J65" s="844"/>
      <c r="K65" s="844"/>
      <c r="L65" s="321">
        <v>1500</v>
      </c>
      <c r="M65" s="844"/>
      <c r="N65" s="844"/>
      <c r="O65" s="844"/>
      <c r="P65" s="322">
        <v>500</v>
      </c>
      <c r="Q65" s="321">
        <v>1500</v>
      </c>
      <c r="R65" s="321">
        <v>63778</v>
      </c>
      <c r="S65" s="844"/>
      <c r="T65" s="844"/>
      <c r="U65" s="844"/>
      <c r="V65" s="322">
        <v>500</v>
      </c>
      <c r="W65" s="321">
        <v>75778</v>
      </c>
      <c r="X65" s="321">
        <v>19000</v>
      </c>
      <c r="Y65" s="322"/>
      <c r="Z65" s="322"/>
      <c r="AA65" s="321">
        <v>25500</v>
      </c>
      <c r="AB65" s="322">
        <v>500</v>
      </c>
      <c r="AC65" s="321">
        <v>39500</v>
      </c>
      <c r="AD65" s="321">
        <v>22500</v>
      </c>
      <c r="AE65" s="322"/>
      <c r="AF65" s="321">
        <v>10000</v>
      </c>
      <c r="AG65" s="321">
        <v>32500</v>
      </c>
      <c r="AH65" s="322">
        <v>500</v>
      </c>
      <c r="AI65" s="323">
        <v>55000</v>
      </c>
      <c r="AJ65" s="324">
        <v>183278</v>
      </c>
    </row>
    <row r="66" spans="1:37" s="82" customFormat="1" ht="15.75">
      <c r="A66" s="390"/>
      <c r="B66" s="391"/>
      <c r="C66" s="391"/>
      <c r="D66" s="391"/>
      <c r="E66" s="391"/>
      <c r="F66" s="391"/>
      <c r="G66" s="391"/>
      <c r="H66" s="391"/>
      <c r="I66" s="391"/>
      <c r="J66" s="391"/>
      <c r="K66" s="391"/>
      <c r="L66" s="392">
        <f>SUM(L36:L64)</f>
        <v>1500</v>
      </c>
      <c r="M66" s="392">
        <f t="shared" ref="M66:AF66" si="6">SUM(M36:M64)</f>
        <v>0</v>
      </c>
      <c r="N66" s="392">
        <f t="shared" si="6"/>
        <v>0</v>
      </c>
      <c r="O66" s="392">
        <f t="shared" si="6"/>
        <v>0</v>
      </c>
      <c r="P66" s="392">
        <f t="shared" si="6"/>
        <v>500</v>
      </c>
      <c r="Q66" s="392">
        <f>SUM(Q36:Q64)</f>
        <v>2000</v>
      </c>
      <c r="R66" s="392">
        <f t="shared" si="6"/>
        <v>68278</v>
      </c>
      <c r="S66" s="392">
        <f t="shared" si="6"/>
        <v>0</v>
      </c>
      <c r="T66" s="392">
        <f t="shared" si="6"/>
        <v>0</v>
      </c>
      <c r="U66" s="392">
        <f t="shared" si="6"/>
        <v>11500</v>
      </c>
      <c r="V66" s="392">
        <f t="shared" si="6"/>
        <v>500</v>
      </c>
      <c r="W66" s="392">
        <f>SUM(W36:W64)</f>
        <v>80278</v>
      </c>
      <c r="X66" s="392">
        <f>SUM(X36:X64)</f>
        <v>19000</v>
      </c>
      <c r="Y66" s="392">
        <f t="shared" si="6"/>
        <v>0</v>
      </c>
      <c r="Z66" s="392">
        <f t="shared" si="6"/>
        <v>0</v>
      </c>
      <c r="AA66" s="392">
        <f t="shared" si="6"/>
        <v>20500</v>
      </c>
      <c r="AB66" s="392">
        <f t="shared" si="6"/>
        <v>500</v>
      </c>
      <c r="AC66" s="392">
        <f>SUM(AC36:AC64)</f>
        <v>40000</v>
      </c>
      <c r="AD66" s="392">
        <f t="shared" si="6"/>
        <v>22500</v>
      </c>
      <c r="AE66" s="392">
        <f t="shared" si="6"/>
        <v>0</v>
      </c>
      <c r="AF66" s="392">
        <f t="shared" si="6"/>
        <v>10000</v>
      </c>
      <c r="AG66" s="392">
        <f>SUM(AG36:AG64)</f>
        <v>32500</v>
      </c>
      <c r="AH66" s="392">
        <f>SUM(AH36:AH64)</f>
        <v>500</v>
      </c>
      <c r="AI66" s="392">
        <f>SUM(AI36:AI64)</f>
        <v>65500</v>
      </c>
      <c r="AJ66" s="393">
        <f>SUM(AI66+AC66+W66+Q66)</f>
        <v>187778</v>
      </c>
      <c r="AK66" s="394"/>
    </row>
    <row r="67" spans="1:37">
      <c r="A67" s="137"/>
      <c r="B67" s="137"/>
      <c r="C67" s="137"/>
      <c r="D67" s="137"/>
      <c r="E67" s="137"/>
      <c r="F67" s="137"/>
      <c r="G67" s="137"/>
      <c r="H67" s="137"/>
      <c r="I67" s="137"/>
      <c r="J67" s="137"/>
      <c r="K67" s="137"/>
      <c r="L67" s="137"/>
      <c r="M67" s="137"/>
      <c r="N67" s="137"/>
      <c r="O67" s="137"/>
      <c r="P67" s="137"/>
      <c r="Q67" s="409">
        <f>SUM(L66:P66)</f>
        <v>2000</v>
      </c>
      <c r="R67" s="137"/>
      <c r="S67" s="137"/>
      <c r="T67" s="137"/>
      <c r="U67" s="137"/>
      <c r="V67" s="137"/>
      <c r="W67" s="409">
        <f>SUM(R66:V66)</f>
        <v>80278</v>
      </c>
      <c r="X67" s="137"/>
      <c r="Y67" s="137"/>
      <c r="Z67" s="137"/>
      <c r="AA67" s="137"/>
      <c r="AB67" s="137"/>
      <c r="AC67" s="409">
        <f>SUM(X66:AB66)</f>
        <v>40000</v>
      </c>
      <c r="AD67" s="137"/>
      <c r="AE67" s="137"/>
      <c r="AF67" s="137"/>
      <c r="AG67" s="137"/>
      <c r="AH67" s="409">
        <f>SUM(AD66:AH66)</f>
        <v>65500</v>
      </c>
      <c r="AJ67" s="401">
        <f>AI65+AC65+W65+Q65</f>
        <v>171778</v>
      </c>
    </row>
    <row r="68" spans="1:37">
      <c r="A68" s="138" t="s">
        <v>312</v>
      </c>
      <c r="B68" s="33"/>
      <c r="C68" s="33"/>
      <c r="D68" s="33"/>
      <c r="E68" s="33"/>
      <c r="F68" s="33"/>
      <c r="G68" s="33"/>
      <c r="H68" s="33"/>
      <c r="I68" s="33"/>
      <c r="J68" s="33"/>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row>
    <row r="69" spans="1:37">
      <c r="A69" s="137"/>
      <c r="B69" s="1166"/>
      <c r="C69" s="1166"/>
      <c r="D69" s="1166"/>
      <c r="E69" s="1166"/>
      <c r="F69" s="1166"/>
      <c r="G69" s="1166"/>
      <c r="H69" s="1166"/>
      <c r="I69" s="1166"/>
      <c r="J69" s="84"/>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row>
    <row r="70" spans="1:37">
      <c r="A70" s="1167"/>
      <c r="B70" s="840"/>
      <c r="C70" s="840"/>
      <c r="D70" s="1014" t="s">
        <v>0</v>
      </c>
      <c r="E70" s="1014" t="s">
        <v>210</v>
      </c>
      <c r="F70" s="1020" t="s">
        <v>5</v>
      </c>
      <c r="G70" s="1021"/>
      <c r="H70" s="1014" t="s">
        <v>22</v>
      </c>
      <c r="I70" s="1014" t="s">
        <v>211</v>
      </c>
      <c r="J70" s="1014" t="s">
        <v>212</v>
      </c>
      <c r="K70" s="1014" t="s">
        <v>213</v>
      </c>
      <c r="L70" s="1154" t="s">
        <v>214</v>
      </c>
      <c r="M70" s="1154"/>
      <c r="N70" s="1154"/>
      <c r="O70" s="1154"/>
      <c r="P70" s="1154"/>
      <c r="Q70" s="1154"/>
      <c r="R70" s="1154"/>
      <c r="S70" s="1154"/>
      <c r="T70" s="1154"/>
      <c r="U70" s="1154"/>
      <c r="V70" s="1154"/>
      <c r="W70" s="1154"/>
      <c r="X70" s="1154"/>
      <c r="Y70" s="1154"/>
      <c r="Z70" s="1154"/>
      <c r="AA70" s="1154"/>
      <c r="AB70" s="1154"/>
      <c r="AC70" s="1154"/>
      <c r="AD70" s="1154"/>
      <c r="AE70" s="1154"/>
      <c r="AF70" s="1154"/>
      <c r="AG70" s="1154"/>
      <c r="AH70" s="1154"/>
    </row>
    <row r="71" spans="1:37" ht="47.25">
      <c r="A71" s="1168"/>
      <c r="B71" s="841" t="s">
        <v>215</v>
      </c>
      <c r="C71" s="841" t="s">
        <v>216</v>
      </c>
      <c r="D71" s="1015"/>
      <c r="E71" s="1015"/>
      <c r="F71" s="1008" t="s">
        <v>217</v>
      </c>
      <c r="G71" s="1008" t="s">
        <v>6</v>
      </c>
      <c r="H71" s="1015"/>
      <c r="I71" s="1015"/>
      <c r="J71" s="1015"/>
      <c r="K71" s="1015"/>
      <c r="L71" s="1151" t="s">
        <v>12</v>
      </c>
      <c r="M71" s="1152"/>
      <c r="N71" s="1152"/>
      <c r="O71" s="1152"/>
      <c r="P71" s="1152"/>
      <c r="Q71" s="1152"/>
      <c r="R71" s="1151" t="s">
        <v>13</v>
      </c>
      <c r="S71" s="1152"/>
      <c r="T71" s="1152"/>
      <c r="U71" s="1152"/>
      <c r="V71" s="1152"/>
      <c r="W71" s="1152"/>
      <c r="X71" s="1153" t="s">
        <v>14</v>
      </c>
      <c r="Y71" s="1154"/>
      <c r="Z71" s="1154"/>
      <c r="AA71" s="1154"/>
      <c r="AB71" s="1154"/>
      <c r="AC71" s="1155"/>
      <c r="AD71" s="1151" t="s">
        <v>15</v>
      </c>
      <c r="AE71" s="1152"/>
      <c r="AF71" s="1152"/>
      <c r="AG71" s="1152"/>
      <c r="AH71" s="1152"/>
      <c r="AI71" s="315" t="s">
        <v>688</v>
      </c>
      <c r="AJ71" s="315" t="s">
        <v>689</v>
      </c>
    </row>
    <row r="72" spans="1:37" ht="25.5">
      <c r="A72" s="1169"/>
      <c r="B72" s="842"/>
      <c r="C72" s="842"/>
      <c r="D72" s="1016"/>
      <c r="E72" s="1016"/>
      <c r="F72" s="1009"/>
      <c r="G72" s="1009"/>
      <c r="H72" s="1016"/>
      <c r="I72" s="1016"/>
      <c r="J72" s="1016"/>
      <c r="K72" s="1016"/>
      <c r="L72" s="869" t="s">
        <v>1</v>
      </c>
      <c r="M72" s="869" t="s">
        <v>9</v>
      </c>
      <c r="N72" s="869" t="s">
        <v>218</v>
      </c>
      <c r="O72" s="848" t="s">
        <v>17</v>
      </c>
      <c r="P72" s="848" t="s">
        <v>19</v>
      </c>
      <c r="Q72" s="848" t="s">
        <v>4</v>
      </c>
      <c r="R72" s="869" t="s">
        <v>1</v>
      </c>
      <c r="S72" s="869" t="s">
        <v>2</v>
      </c>
      <c r="T72" s="869" t="s">
        <v>219</v>
      </c>
      <c r="U72" s="869" t="s">
        <v>17</v>
      </c>
      <c r="V72" s="869" t="s">
        <v>19</v>
      </c>
      <c r="W72" s="869" t="s">
        <v>4</v>
      </c>
      <c r="X72" s="869" t="s">
        <v>1</v>
      </c>
      <c r="Y72" s="869" t="s">
        <v>9</v>
      </c>
      <c r="Z72" s="869" t="s">
        <v>218</v>
      </c>
      <c r="AA72" s="848" t="s">
        <v>17</v>
      </c>
      <c r="AB72" s="848" t="s">
        <v>19</v>
      </c>
      <c r="AC72" s="848" t="s">
        <v>4</v>
      </c>
      <c r="AD72" s="869" t="s">
        <v>1</v>
      </c>
      <c r="AE72" s="869" t="s">
        <v>9</v>
      </c>
      <c r="AF72" s="869" t="s">
        <v>219</v>
      </c>
      <c r="AG72" s="848" t="s">
        <v>17</v>
      </c>
      <c r="AH72" s="848" t="s">
        <v>19</v>
      </c>
      <c r="AI72" s="313"/>
      <c r="AJ72" s="316"/>
    </row>
    <row r="73" spans="1:37" ht="15.75">
      <c r="A73" s="862"/>
      <c r="B73" s="842" t="s">
        <v>33</v>
      </c>
      <c r="C73" s="842" t="s">
        <v>34</v>
      </c>
      <c r="D73" s="838" t="s">
        <v>45</v>
      </c>
      <c r="E73" s="839" t="s">
        <v>220</v>
      </c>
      <c r="F73" s="842" t="s">
        <v>36</v>
      </c>
      <c r="G73" s="842" t="s">
        <v>37</v>
      </c>
      <c r="H73" s="842" t="s">
        <v>38</v>
      </c>
      <c r="I73" s="842" t="s">
        <v>39</v>
      </c>
      <c r="J73" s="843" t="s">
        <v>40</v>
      </c>
      <c r="K73" s="843" t="s">
        <v>41</v>
      </c>
      <c r="L73" s="11" t="s">
        <v>221</v>
      </c>
      <c r="M73" s="11" t="s">
        <v>222</v>
      </c>
      <c r="N73" s="11" t="s">
        <v>223</v>
      </c>
      <c r="O73" s="843" t="s">
        <v>224</v>
      </c>
      <c r="P73" s="843" t="s">
        <v>225</v>
      </c>
      <c r="Q73" s="843" t="s">
        <v>226</v>
      </c>
      <c r="R73" s="843" t="s">
        <v>227</v>
      </c>
      <c r="S73" s="843" t="s">
        <v>228</v>
      </c>
      <c r="T73" s="843" t="s">
        <v>229</v>
      </c>
      <c r="U73" s="843" t="s">
        <v>230</v>
      </c>
      <c r="V73" s="11" t="s">
        <v>231</v>
      </c>
      <c r="W73" s="11" t="s">
        <v>232</v>
      </c>
      <c r="X73" s="11" t="s">
        <v>233</v>
      </c>
      <c r="Y73" s="843" t="s">
        <v>234</v>
      </c>
      <c r="Z73" s="843" t="s">
        <v>235</v>
      </c>
      <c r="AA73" s="11" t="s">
        <v>236</v>
      </c>
      <c r="AB73" s="11" t="s">
        <v>237</v>
      </c>
      <c r="AC73" s="11" t="s">
        <v>238</v>
      </c>
      <c r="AD73" s="843" t="s">
        <v>239</v>
      </c>
      <c r="AE73" s="843" t="s">
        <v>240</v>
      </c>
      <c r="AF73" s="843" t="s">
        <v>241</v>
      </c>
      <c r="AG73" s="843" t="s">
        <v>242</v>
      </c>
      <c r="AH73" s="843" t="s">
        <v>243</v>
      </c>
      <c r="AI73" s="313"/>
      <c r="AJ73" s="313"/>
    </row>
    <row r="74" spans="1:37" ht="25.5">
      <c r="A74" s="4" t="s">
        <v>313</v>
      </c>
      <c r="B74" s="6"/>
      <c r="C74" s="6"/>
      <c r="D74" s="88"/>
      <c r="E74" s="88"/>
      <c r="F74" s="89"/>
      <c r="G74" s="90"/>
      <c r="H74" s="25"/>
      <c r="I74" s="25"/>
      <c r="J74" s="90"/>
      <c r="K74" s="4"/>
      <c r="L74" s="1"/>
      <c r="M74" s="1"/>
      <c r="N74" s="1"/>
      <c r="O74" s="1"/>
      <c r="P74" s="1"/>
      <c r="Q74" s="408">
        <f>SUM(L74:P74)</f>
        <v>0</v>
      </c>
      <c r="R74" s="1"/>
      <c r="S74" s="1"/>
      <c r="T74" s="1"/>
      <c r="U74" s="1"/>
      <c r="V74" s="1"/>
      <c r="W74" s="2"/>
      <c r="X74" s="2"/>
      <c r="Y74" s="2"/>
      <c r="Z74" s="2"/>
      <c r="AA74" s="2"/>
      <c r="AB74" s="2"/>
      <c r="AC74" s="2"/>
      <c r="AD74" s="1"/>
      <c r="AE74" s="1"/>
      <c r="AF74" s="1"/>
      <c r="AG74" s="1"/>
      <c r="AH74" s="1"/>
      <c r="AI74" s="313"/>
      <c r="AJ74" s="313"/>
    </row>
    <row r="75" spans="1:37" ht="38.25">
      <c r="A75" s="4" t="s">
        <v>314</v>
      </c>
      <c r="B75" s="6"/>
      <c r="C75" s="6"/>
      <c r="D75" s="91"/>
      <c r="E75" s="91"/>
      <c r="F75" s="91"/>
      <c r="G75" s="92"/>
      <c r="H75" s="92"/>
      <c r="I75" s="92"/>
      <c r="J75" s="92"/>
      <c r="K75" s="4"/>
      <c r="L75" s="1"/>
      <c r="M75" s="1"/>
      <c r="N75" s="1"/>
      <c r="O75" s="1"/>
      <c r="P75" s="1"/>
      <c r="Q75" s="407"/>
      <c r="R75" s="1"/>
      <c r="S75" s="1"/>
      <c r="T75" s="1"/>
      <c r="U75" s="1"/>
      <c r="V75" s="1"/>
      <c r="W75" s="1"/>
      <c r="X75" s="1"/>
      <c r="Y75" s="1"/>
      <c r="Z75" s="1"/>
      <c r="AA75" s="1"/>
      <c r="AB75" s="1"/>
      <c r="AC75" s="1"/>
      <c r="AD75" s="1"/>
      <c r="AE75" s="1"/>
      <c r="AF75" s="1"/>
      <c r="AG75" s="1"/>
      <c r="AH75" s="1"/>
      <c r="AI75" s="313"/>
      <c r="AJ75" s="313"/>
    </row>
    <row r="76" spans="1:37" ht="38.25">
      <c r="A76" s="4" t="s">
        <v>315</v>
      </c>
      <c r="B76" s="6"/>
      <c r="C76" s="6"/>
      <c r="D76" s="88"/>
      <c r="E76" s="93"/>
      <c r="F76" s="857"/>
      <c r="G76" s="92"/>
      <c r="H76" s="90"/>
      <c r="I76" s="90"/>
      <c r="J76" s="90"/>
      <c r="K76" s="4"/>
      <c r="L76" s="1"/>
      <c r="M76" s="855"/>
      <c r="N76" s="1"/>
      <c r="O76" s="1"/>
      <c r="P76" s="1"/>
      <c r="Q76" s="396"/>
      <c r="R76" s="1"/>
      <c r="S76" s="1"/>
      <c r="T76" s="1"/>
      <c r="U76" s="1"/>
      <c r="V76" s="1"/>
      <c r="W76" s="1"/>
      <c r="X76" s="1"/>
      <c r="Y76" s="1"/>
      <c r="Z76" s="1"/>
      <c r="AA76" s="1"/>
      <c r="AB76" s="1"/>
      <c r="AC76" s="1"/>
      <c r="AD76" s="1"/>
      <c r="AE76" s="1"/>
      <c r="AF76" s="1"/>
      <c r="AG76" s="1"/>
      <c r="AH76" s="1"/>
      <c r="AI76" s="313"/>
      <c r="AJ76" s="313"/>
    </row>
    <row r="77" spans="1:37" ht="89.25">
      <c r="A77" s="4" t="s">
        <v>316</v>
      </c>
      <c r="B77" s="6"/>
      <c r="C77" s="6"/>
      <c r="D77" s="92"/>
      <c r="E77" s="92"/>
      <c r="F77" s="92"/>
      <c r="G77" s="92"/>
      <c r="H77" s="92"/>
      <c r="I77" s="92"/>
      <c r="J77" s="92"/>
      <c r="K77" s="4"/>
      <c r="L77" s="1"/>
      <c r="M77" s="1"/>
      <c r="N77" s="1"/>
      <c r="O77" s="1"/>
      <c r="P77" s="1"/>
      <c r="Q77" s="407"/>
      <c r="R77" s="1"/>
      <c r="S77" s="1"/>
      <c r="T77" s="1"/>
      <c r="U77" s="1"/>
      <c r="V77" s="1"/>
      <c r="W77" s="1"/>
      <c r="X77" s="1"/>
      <c r="Y77" s="1"/>
      <c r="Z77" s="1"/>
      <c r="AA77" s="1"/>
      <c r="AB77" s="1"/>
      <c r="AC77" s="1"/>
      <c r="AD77" s="1"/>
      <c r="AE77" s="1"/>
      <c r="AF77" s="1"/>
      <c r="AG77" s="1"/>
      <c r="AH77" s="1"/>
      <c r="AI77" s="313"/>
      <c r="AJ77" s="313"/>
    </row>
    <row r="78" spans="1:37" ht="25.5">
      <c r="A78" s="4" t="s">
        <v>317</v>
      </c>
      <c r="B78" s="6"/>
      <c r="C78" s="6"/>
      <c r="D78" s="92"/>
      <c r="E78" s="92"/>
      <c r="F78" s="92"/>
      <c r="G78" s="92"/>
      <c r="H78" s="92"/>
      <c r="I78" s="92"/>
      <c r="J78" s="92"/>
      <c r="K78" s="4"/>
      <c r="L78" s="1"/>
      <c r="M78" s="97"/>
      <c r="N78" s="1"/>
      <c r="O78" s="1"/>
      <c r="P78" s="1"/>
      <c r="Q78" s="407"/>
      <c r="R78" s="1"/>
      <c r="S78" s="1"/>
      <c r="T78" s="1"/>
      <c r="U78" s="1"/>
      <c r="V78" s="1"/>
      <c r="W78" s="1"/>
      <c r="X78" s="1"/>
      <c r="Y78" s="1"/>
      <c r="Z78" s="1"/>
      <c r="AA78" s="1"/>
      <c r="AB78" s="1"/>
      <c r="AC78" s="1"/>
      <c r="AD78" s="1"/>
      <c r="AE78" s="1"/>
      <c r="AF78" s="1"/>
      <c r="AG78" s="1"/>
      <c r="AH78" s="1"/>
      <c r="AI78" s="313"/>
      <c r="AJ78" s="313"/>
    </row>
    <row r="79" spans="1:37" ht="114.75">
      <c r="A79" s="4" t="s">
        <v>318</v>
      </c>
      <c r="B79" s="6"/>
      <c r="C79" s="6"/>
      <c r="D79" s="98" t="s">
        <v>79</v>
      </c>
      <c r="E79" s="4" t="s">
        <v>78</v>
      </c>
      <c r="F79" s="99" t="s">
        <v>80</v>
      </c>
      <c r="G79" s="92"/>
      <c r="H79" s="100" t="s">
        <v>309</v>
      </c>
      <c r="I79" s="4" t="s">
        <v>319</v>
      </c>
      <c r="J79" s="4" t="s">
        <v>320</v>
      </c>
      <c r="K79" s="4"/>
      <c r="L79" s="364">
        <v>120000</v>
      </c>
      <c r="M79" s="1"/>
      <c r="N79" s="1"/>
      <c r="O79" s="1"/>
      <c r="P79" s="1"/>
      <c r="Q79" s="407">
        <f>SUM(L79:P79)</f>
        <v>120000</v>
      </c>
      <c r="R79" s="364">
        <v>126000</v>
      </c>
      <c r="S79" s="1"/>
      <c r="T79" s="1"/>
      <c r="U79" s="1"/>
      <c r="V79" s="1"/>
      <c r="W79" s="410">
        <f>SUM(R79:V79)</f>
        <v>126000</v>
      </c>
      <c r="X79" s="364">
        <v>132300</v>
      </c>
      <c r="Y79" s="1"/>
      <c r="Z79" s="1"/>
      <c r="AA79" s="1"/>
      <c r="AB79" s="1"/>
      <c r="AC79" s="410">
        <f>SUM(X79:AB79)</f>
        <v>132300</v>
      </c>
      <c r="AD79" s="403">
        <v>138920</v>
      </c>
      <c r="AE79" s="1"/>
      <c r="AF79" s="1"/>
      <c r="AG79" s="1"/>
      <c r="AH79" s="1"/>
      <c r="AI79" s="399">
        <f>SUM(AD79:AH79)</f>
        <v>138920</v>
      </c>
      <c r="AJ79" s="313"/>
    </row>
    <row r="80" spans="1:37" ht="216.75">
      <c r="A80" s="4" t="s">
        <v>321</v>
      </c>
      <c r="B80" s="4"/>
      <c r="C80" s="4"/>
      <c r="D80" s="98" t="s">
        <v>79</v>
      </c>
      <c r="E80" s="4" t="s">
        <v>322</v>
      </c>
      <c r="F80" s="99" t="s">
        <v>80</v>
      </c>
      <c r="G80" s="92"/>
      <c r="H80" s="100" t="s">
        <v>309</v>
      </c>
      <c r="I80" s="4" t="s">
        <v>319</v>
      </c>
      <c r="J80" s="4" t="s">
        <v>320</v>
      </c>
      <c r="K80" s="13"/>
      <c r="L80" s="365">
        <v>14000</v>
      </c>
      <c r="M80" s="101"/>
      <c r="N80" s="101"/>
      <c r="O80" s="101"/>
      <c r="P80" s="101"/>
      <c r="Q80" s="407">
        <f>SUM(L80:P80)</f>
        <v>14000</v>
      </c>
      <c r="R80" s="365">
        <v>50000</v>
      </c>
      <c r="S80" s="101"/>
      <c r="T80" s="101"/>
      <c r="U80" s="101"/>
      <c r="V80" s="101"/>
      <c r="W80" s="410">
        <f>SUM(R80:V80)</f>
        <v>50000</v>
      </c>
      <c r="X80" s="365">
        <v>100000</v>
      </c>
      <c r="Y80" s="101"/>
      <c r="Z80" s="101"/>
      <c r="AA80" s="101"/>
      <c r="AB80" s="101"/>
      <c r="AC80" s="410">
        <f>SUM(X80:AB80)</f>
        <v>100000</v>
      </c>
      <c r="AD80" s="402">
        <v>100</v>
      </c>
      <c r="AE80" s="101"/>
      <c r="AF80" s="101"/>
      <c r="AG80" s="101"/>
      <c r="AH80" s="101"/>
      <c r="AI80" s="399">
        <f>SUM(AD80:AH80)</f>
        <v>100</v>
      </c>
      <c r="AJ80" s="313"/>
    </row>
    <row r="81" spans="1:36" ht="127.5">
      <c r="A81" s="4" t="s">
        <v>323</v>
      </c>
      <c r="B81" s="4"/>
      <c r="C81" s="4"/>
      <c r="D81" s="90" t="s">
        <v>324</v>
      </c>
      <c r="E81" s="4" t="s">
        <v>325</v>
      </c>
      <c r="F81" s="99" t="s">
        <v>326</v>
      </c>
      <c r="G81" s="92"/>
      <c r="H81" s="100" t="s">
        <v>309</v>
      </c>
      <c r="I81" s="4" t="s">
        <v>319</v>
      </c>
      <c r="J81" s="4" t="s">
        <v>320</v>
      </c>
      <c r="K81" s="4"/>
      <c r="L81" s="365">
        <v>10000</v>
      </c>
      <c r="M81" s="101"/>
      <c r="N81" s="101"/>
      <c r="O81" s="101"/>
      <c r="P81" s="101"/>
      <c r="Q81" s="407">
        <f>SUM(L81:P81)</f>
        <v>10000</v>
      </c>
      <c r="R81" s="365">
        <v>5000</v>
      </c>
      <c r="S81" s="101"/>
      <c r="T81" s="101"/>
      <c r="U81" s="101"/>
      <c r="V81" s="101"/>
      <c r="W81" s="410">
        <f>SUM(R81:V81)</f>
        <v>5000</v>
      </c>
      <c r="X81" s="365">
        <v>5000</v>
      </c>
      <c r="Y81" s="101"/>
      <c r="Z81" s="101"/>
      <c r="AA81" s="101"/>
      <c r="AB81" s="101"/>
      <c r="AC81" s="410">
        <f>SUM(X81:AB81)</f>
        <v>5000</v>
      </c>
      <c r="AD81" s="402">
        <v>5000</v>
      </c>
      <c r="AE81" s="101"/>
      <c r="AF81" s="101"/>
      <c r="AG81" s="101"/>
      <c r="AH81" s="101"/>
      <c r="AI81" s="399">
        <f>SUM(AD81:AH81)</f>
        <v>5000</v>
      </c>
      <c r="AJ81" s="313"/>
    </row>
    <row r="82" spans="1:36" ht="25.5">
      <c r="A82" s="4" t="s">
        <v>327</v>
      </c>
      <c r="B82" s="4"/>
      <c r="C82" s="4"/>
      <c r="D82" s="6"/>
      <c r="E82" s="6"/>
      <c r="F82" s="92"/>
      <c r="G82" s="6"/>
      <c r="H82" s="6"/>
      <c r="I82" s="6"/>
      <c r="J82" s="6"/>
      <c r="K82" s="4"/>
      <c r="L82" s="101"/>
      <c r="M82" s="101"/>
      <c r="N82" s="101"/>
      <c r="O82" s="101"/>
      <c r="P82" s="101"/>
      <c r="Q82" s="406">
        <f>SUM(L82:P82)</f>
        <v>0</v>
      </c>
      <c r="R82" s="101"/>
      <c r="S82" s="101"/>
      <c r="T82" s="101"/>
      <c r="U82" s="101"/>
      <c r="V82" s="101"/>
      <c r="W82" s="410">
        <f>SUM(R82:V82)</f>
        <v>0</v>
      </c>
      <c r="X82" s="101"/>
      <c r="Y82" s="101"/>
      <c r="Z82" s="101"/>
      <c r="AA82" s="101"/>
      <c r="AB82" s="101"/>
      <c r="AC82" s="410">
        <f>SUM(X82:AB82)</f>
        <v>0</v>
      </c>
      <c r="AD82" s="402"/>
      <c r="AE82" s="101"/>
      <c r="AF82" s="101"/>
      <c r="AG82" s="101"/>
      <c r="AH82" s="101"/>
      <c r="AI82" s="399">
        <f>SUM(AD82:AH82)</f>
        <v>0</v>
      </c>
      <c r="AJ82" s="313"/>
    </row>
    <row r="83" spans="1:36" ht="242.25">
      <c r="A83" s="4" t="s">
        <v>328</v>
      </c>
      <c r="B83" s="6"/>
      <c r="C83" s="6"/>
      <c r="D83" s="90" t="s">
        <v>329</v>
      </c>
      <c r="E83" s="4" t="s">
        <v>330</v>
      </c>
      <c r="F83" s="99" t="s">
        <v>80</v>
      </c>
      <c r="G83" s="100"/>
      <c r="H83" s="100" t="s">
        <v>309</v>
      </c>
      <c r="I83" s="4" t="s">
        <v>319</v>
      </c>
      <c r="J83" s="4" t="s">
        <v>320</v>
      </c>
      <c r="K83" s="4"/>
      <c r="L83" s="365">
        <v>15000</v>
      </c>
      <c r="M83" s="101"/>
      <c r="N83" s="101"/>
      <c r="O83" s="101"/>
      <c r="P83" s="101"/>
      <c r="Q83" s="406">
        <f>SUM(L83:P83)</f>
        <v>15000</v>
      </c>
      <c r="R83" s="365">
        <v>10000</v>
      </c>
      <c r="S83" s="101"/>
      <c r="T83" s="101"/>
      <c r="U83" s="101"/>
      <c r="V83" s="101"/>
      <c r="W83" s="410">
        <f>SUM(R83:V83)</f>
        <v>10000</v>
      </c>
      <c r="X83" s="365">
        <v>10000</v>
      </c>
      <c r="Y83" s="101"/>
      <c r="Z83" s="101"/>
      <c r="AA83" s="101"/>
      <c r="AB83" s="101"/>
      <c r="AC83" s="410">
        <f>SUM(X83:AB83)</f>
        <v>10000</v>
      </c>
      <c r="AD83" s="402">
        <v>5000</v>
      </c>
      <c r="AE83" s="101"/>
      <c r="AF83" s="101"/>
      <c r="AG83" s="101"/>
      <c r="AH83" s="101"/>
      <c r="AI83" s="399">
        <f>SUM(AD83:AH83)</f>
        <v>5000</v>
      </c>
      <c r="AJ83" s="313"/>
    </row>
    <row r="84" spans="1:36" ht="68.25" customHeight="1">
      <c r="A84" s="4" t="s">
        <v>331</v>
      </c>
      <c r="B84" s="6"/>
      <c r="C84" s="6"/>
      <c r="D84" s="91"/>
      <c r="E84" s="91"/>
      <c r="F84" s="91"/>
      <c r="G84" s="92"/>
      <c r="H84" s="92"/>
      <c r="I84" s="92"/>
      <c r="J84" s="92"/>
      <c r="K84" s="4"/>
      <c r="L84" s="1"/>
      <c r="M84" s="1"/>
      <c r="N84" s="1"/>
      <c r="O84" s="1"/>
      <c r="P84" s="1"/>
      <c r="Q84" s="407"/>
      <c r="R84" s="1"/>
      <c r="S84" s="1"/>
      <c r="T84" s="1"/>
      <c r="U84" s="1"/>
      <c r="V84" s="1"/>
      <c r="W84" s="1"/>
      <c r="X84" s="1"/>
      <c r="Y84" s="1"/>
      <c r="Z84" s="1"/>
      <c r="AA84" s="1"/>
      <c r="AB84" s="1"/>
      <c r="AC84" s="1"/>
      <c r="AD84" s="403"/>
      <c r="AE84" s="1"/>
      <c r="AF84" s="1"/>
      <c r="AG84" s="1"/>
      <c r="AH84" s="1"/>
      <c r="AI84" s="313"/>
      <c r="AJ84" s="313"/>
    </row>
    <row r="85" spans="1:36" ht="86.25" customHeight="1">
      <c r="A85" s="13" t="s">
        <v>332</v>
      </c>
      <c r="B85" s="6"/>
      <c r="C85" s="6"/>
      <c r="D85" s="92"/>
      <c r="E85" s="92"/>
      <c r="F85" s="92"/>
      <c r="G85" s="92"/>
      <c r="H85" s="92"/>
      <c r="I85" s="92"/>
      <c r="J85" s="92"/>
      <c r="K85" s="4"/>
      <c r="L85" s="1"/>
      <c r="M85" s="1"/>
      <c r="N85" s="1"/>
      <c r="O85" s="1"/>
      <c r="P85" s="1"/>
      <c r="Q85" s="407"/>
      <c r="R85" s="1"/>
      <c r="S85" s="1"/>
      <c r="T85" s="1"/>
      <c r="U85" s="1"/>
      <c r="V85" s="1"/>
      <c r="W85" s="1"/>
      <c r="X85" s="1"/>
      <c r="Y85" s="1"/>
      <c r="Z85" s="1"/>
      <c r="AA85" s="1"/>
      <c r="AB85" s="1"/>
      <c r="AC85" s="1"/>
      <c r="AD85" s="403"/>
      <c r="AE85" s="1"/>
      <c r="AF85" s="1"/>
      <c r="AG85" s="1"/>
      <c r="AH85" s="1"/>
      <c r="AI85" s="313"/>
      <c r="AJ85" s="313"/>
    </row>
    <row r="86" spans="1:36" ht="63.75">
      <c r="A86" s="4" t="s">
        <v>333</v>
      </c>
      <c r="B86" s="6"/>
      <c r="C86" s="6"/>
      <c r="D86" s="1137" t="s">
        <v>334</v>
      </c>
      <c r="E86" s="1137" t="s">
        <v>335</v>
      </c>
      <c r="F86" s="1141" t="s">
        <v>80</v>
      </c>
      <c r="G86" s="1144"/>
      <c r="H86" s="836" t="s">
        <v>395</v>
      </c>
      <c r="I86" s="1137" t="s">
        <v>336</v>
      </c>
      <c r="J86" s="1147" t="s">
        <v>320</v>
      </c>
      <c r="K86" s="1064"/>
      <c r="L86" s="1068">
        <v>18000</v>
      </c>
      <c r="M86" s="1064"/>
      <c r="N86" s="1064"/>
      <c r="O86" s="1064"/>
      <c r="P86" s="1064"/>
      <c r="Q86" s="1065">
        <f>SUM(L86:P89)</f>
        <v>18000</v>
      </c>
      <c r="R86" s="1068">
        <v>26550</v>
      </c>
      <c r="S86" s="1064"/>
      <c r="T86" s="1064"/>
      <c r="U86" s="1064"/>
      <c r="V86" s="1064"/>
      <c r="W86" s="1065">
        <f>SUM(R86:V89)</f>
        <v>26550</v>
      </c>
      <c r="X86" s="1068">
        <v>29300</v>
      </c>
      <c r="Y86" s="1064"/>
      <c r="Z86" s="1064"/>
      <c r="AA86" s="1064"/>
      <c r="AB86" s="1064"/>
      <c r="AC86" s="1058">
        <f>SUM(X86:AB89)</f>
        <v>29300</v>
      </c>
      <c r="AD86" s="1061">
        <v>29300</v>
      </c>
      <c r="AE86" s="1064"/>
      <c r="AF86" s="1064"/>
      <c r="AG86" s="1064"/>
      <c r="AH86" s="1064"/>
      <c r="AI86" s="411">
        <f>SUM(AD86:AH89)</f>
        <v>29300</v>
      </c>
      <c r="AJ86" s="313"/>
    </row>
    <row r="87" spans="1:36" ht="25.5">
      <c r="A87" s="4" t="s">
        <v>337</v>
      </c>
      <c r="B87" s="6"/>
      <c r="C87" s="6"/>
      <c r="D87" s="1138"/>
      <c r="E87" s="1139"/>
      <c r="F87" s="1142"/>
      <c r="G87" s="1145"/>
      <c r="H87" s="837"/>
      <c r="I87" s="1139"/>
      <c r="J87" s="1148"/>
      <c r="K87" s="1059"/>
      <c r="L87" s="1069"/>
      <c r="M87" s="1059"/>
      <c r="N87" s="1059"/>
      <c r="O87" s="1059"/>
      <c r="P87" s="1059"/>
      <c r="Q87" s="1066"/>
      <c r="R87" s="1069"/>
      <c r="S87" s="1059"/>
      <c r="T87" s="1059"/>
      <c r="U87" s="1059"/>
      <c r="V87" s="1059"/>
      <c r="W87" s="1066"/>
      <c r="X87" s="1069"/>
      <c r="Y87" s="1059"/>
      <c r="Z87" s="1059"/>
      <c r="AA87" s="1059"/>
      <c r="AB87" s="1059"/>
      <c r="AC87" s="1059"/>
      <c r="AD87" s="1062"/>
      <c r="AE87" s="1059"/>
      <c r="AF87" s="1059"/>
      <c r="AG87" s="1059"/>
      <c r="AH87" s="1059"/>
      <c r="AI87" s="313"/>
      <c r="AJ87" s="313"/>
    </row>
    <row r="88" spans="1:36" ht="25.5">
      <c r="A88" s="4" t="s">
        <v>338</v>
      </c>
      <c r="B88" s="4"/>
      <c r="C88" s="4"/>
      <c r="D88" s="1137" t="s">
        <v>334</v>
      </c>
      <c r="E88" s="1139"/>
      <c r="F88" s="1142"/>
      <c r="G88" s="1145"/>
      <c r="H88" s="837"/>
      <c r="I88" s="1139"/>
      <c r="J88" s="1148"/>
      <c r="K88" s="1059"/>
      <c r="L88" s="1069"/>
      <c r="M88" s="1059"/>
      <c r="N88" s="1059"/>
      <c r="O88" s="1059"/>
      <c r="P88" s="1059"/>
      <c r="Q88" s="1066"/>
      <c r="R88" s="1069"/>
      <c r="S88" s="1059"/>
      <c r="T88" s="1059"/>
      <c r="U88" s="1059"/>
      <c r="V88" s="1059"/>
      <c r="W88" s="1066"/>
      <c r="X88" s="1069"/>
      <c r="Y88" s="1059"/>
      <c r="Z88" s="1059"/>
      <c r="AA88" s="1059"/>
      <c r="AB88" s="1059"/>
      <c r="AC88" s="1059"/>
      <c r="AD88" s="1062"/>
      <c r="AE88" s="1059"/>
      <c r="AF88" s="1059"/>
      <c r="AG88" s="1059"/>
      <c r="AH88" s="1059"/>
      <c r="AI88" s="313"/>
      <c r="AJ88" s="313"/>
    </row>
    <row r="89" spans="1:36" ht="60" customHeight="1">
      <c r="A89" s="4" t="s">
        <v>337</v>
      </c>
      <c r="B89" s="6"/>
      <c r="C89" s="6"/>
      <c r="D89" s="1150"/>
      <c r="E89" s="1140"/>
      <c r="F89" s="1143"/>
      <c r="G89" s="1146"/>
      <c r="H89" s="165"/>
      <c r="I89" s="1140"/>
      <c r="J89" s="1149"/>
      <c r="K89" s="1060"/>
      <c r="L89" s="1070"/>
      <c r="M89" s="1060"/>
      <c r="N89" s="1060"/>
      <c r="O89" s="1060"/>
      <c r="P89" s="1060"/>
      <c r="Q89" s="1067"/>
      <c r="R89" s="1070"/>
      <c r="S89" s="1060"/>
      <c r="T89" s="1060"/>
      <c r="U89" s="1060"/>
      <c r="V89" s="1060"/>
      <c r="W89" s="1067"/>
      <c r="X89" s="1070"/>
      <c r="Y89" s="1060"/>
      <c r="Z89" s="1060"/>
      <c r="AA89" s="1060"/>
      <c r="AB89" s="1060"/>
      <c r="AC89" s="1060"/>
      <c r="AD89" s="1063"/>
      <c r="AE89" s="1060"/>
      <c r="AF89" s="1060"/>
      <c r="AG89" s="1060"/>
      <c r="AH89" s="1060"/>
      <c r="AI89" s="313"/>
      <c r="AJ89" s="313"/>
    </row>
    <row r="90" spans="1:36" ht="15.75">
      <c r="A90" s="14"/>
      <c r="B90" s="14"/>
      <c r="C90" s="14"/>
      <c r="D90" s="92"/>
      <c r="E90" s="92"/>
      <c r="F90" s="92"/>
      <c r="G90" s="92"/>
      <c r="H90" s="92"/>
      <c r="I90" s="92"/>
      <c r="J90" s="92"/>
      <c r="K90" s="4"/>
      <c r="L90" s="101"/>
      <c r="M90" s="101"/>
      <c r="N90" s="101"/>
      <c r="O90" s="101"/>
      <c r="P90" s="101"/>
      <c r="Q90" s="402"/>
      <c r="R90" s="101"/>
      <c r="S90" s="101"/>
      <c r="T90" s="101"/>
      <c r="U90" s="101"/>
      <c r="V90" s="101"/>
      <c r="W90" s="101"/>
      <c r="X90" s="101"/>
      <c r="Y90" s="101"/>
      <c r="Z90" s="101"/>
      <c r="AA90" s="101"/>
      <c r="AB90" s="101"/>
      <c r="AC90" s="101"/>
      <c r="AD90" s="402"/>
      <c r="AE90" s="101"/>
      <c r="AF90" s="101"/>
      <c r="AG90" s="101"/>
      <c r="AH90" s="101"/>
      <c r="AI90" s="313"/>
      <c r="AJ90" s="313"/>
    </row>
    <row r="91" spans="1:36" ht="15.75">
      <c r="A91" s="4"/>
      <c r="B91" s="4"/>
      <c r="C91" s="4"/>
      <c r="D91" s="92"/>
      <c r="E91" s="92"/>
      <c r="F91" s="92"/>
      <c r="G91" s="92"/>
      <c r="H91" s="92"/>
      <c r="I91" s="92"/>
      <c r="J91" s="92"/>
      <c r="K91" s="4"/>
      <c r="L91" s="101"/>
      <c r="M91" s="101"/>
      <c r="N91" s="101"/>
      <c r="O91" s="101"/>
      <c r="P91" s="101"/>
      <c r="Q91" s="402"/>
      <c r="R91" s="101"/>
      <c r="S91" s="101"/>
      <c r="T91" s="101"/>
      <c r="U91" s="101"/>
      <c r="V91" s="101"/>
      <c r="W91" s="101"/>
      <c r="X91" s="101"/>
      <c r="Y91" s="101"/>
      <c r="Z91" s="101"/>
      <c r="AA91" s="101"/>
      <c r="AB91" s="101"/>
      <c r="AC91" s="101"/>
      <c r="AD91" s="402"/>
      <c r="AE91" s="101"/>
      <c r="AF91" s="101"/>
      <c r="AG91" s="101"/>
      <c r="AH91" s="101"/>
      <c r="AI91" s="313"/>
      <c r="AJ91" s="313"/>
    </row>
    <row r="92" spans="1:36" ht="15.75">
      <c r="A92" s="26" t="s">
        <v>276</v>
      </c>
      <c r="B92" s="26"/>
      <c r="C92" s="26"/>
      <c r="D92" s="91"/>
      <c r="E92" s="91"/>
      <c r="F92" s="91"/>
      <c r="G92" s="92"/>
      <c r="H92" s="92"/>
      <c r="I92" s="92"/>
      <c r="J92" s="92"/>
      <c r="K92" s="4"/>
      <c r="L92" s="366">
        <v>177000</v>
      </c>
      <c r="M92" s="101"/>
      <c r="N92" s="101"/>
      <c r="O92" s="101"/>
      <c r="P92" s="101"/>
      <c r="Q92" s="404"/>
      <c r="R92" s="366">
        <v>217550</v>
      </c>
      <c r="S92" s="101"/>
      <c r="T92" s="101"/>
      <c r="U92" s="101"/>
      <c r="V92" s="101"/>
      <c r="W92" s="102"/>
      <c r="X92" s="366">
        <v>276600</v>
      </c>
      <c r="Y92" s="102"/>
      <c r="Z92" s="102"/>
      <c r="AA92" s="102"/>
      <c r="AB92" s="102"/>
      <c r="AC92" s="102"/>
      <c r="AD92" s="366">
        <v>278220</v>
      </c>
      <c r="AE92" s="101"/>
      <c r="AF92" s="101"/>
      <c r="AG92" s="101"/>
      <c r="AH92" s="101"/>
      <c r="AI92" s="367">
        <v>278202</v>
      </c>
      <c r="AJ92" s="325">
        <v>949370</v>
      </c>
    </row>
    <row r="93" spans="1:36" ht="15.75">
      <c r="A93" s="103"/>
      <c r="B93" s="103"/>
      <c r="C93" s="103"/>
      <c r="D93" s="137"/>
      <c r="E93" s="137"/>
      <c r="F93" s="137"/>
      <c r="G93" s="137"/>
      <c r="H93" s="137"/>
      <c r="I93" s="137"/>
      <c r="J93" s="137"/>
      <c r="K93" s="137"/>
      <c r="L93" s="405">
        <f>SUM(L74:L91)</f>
        <v>177000</v>
      </c>
      <c r="M93" s="405">
        <f t="shared" ref="M93:AH93" si="7">SUM(M74:M91)</f>
        <v>0</v>
      </c>
      <c r="N93" s="405">
        <f t="shared" si="7"/>
        <v>0</v>
      </c>
      <c r="O93" s="405">
        <f t="shared" si="7"/>
        <v>0</v>
      </c>
      <c r="P93" s="405">
        <f t="shared" si="7"/>
        <v>0</v>
      </c>
      <c r="Q93" s="405">
        <f>SUM(Q74:Q91)</f>
        <v>177000</v>
      </c>
      <c r="R93" s="405">
        <f t="shared" si="7"/>
        <v>217550</v>
      </c>
      <c r="S93" s="405">
        <f t="shared" si="7"/>
        <v>0</v>
      </c>
      <c r="T93" s="405">
        <f t="shared" si="7"/>
        <v>0</v>
      </c>
      <c r="U93" s="405">
        <f t="shared" si="7"/>
        <v>0</v>
      </c>
      <c r="V93" s="405">
        <f t="shared" si="7"/>
        <v>0</v>
      </c>
      <c r="W93" s="405">
        <f>SUM(W74:W91)</f>
        <v>217550</v>
      </c>
      <c r="X93" s="405">
        <f t="shared" si="7"/>
        <v>276600</v>
      </c>
      <c r="Y93" s="405">
        <f t="shared" si="7"/>
        <v>0</v>
      </c>
      <c r="Z93" s="405">
        <f t="shared" si="7"/>
        <v>0</v>
      </c>
      <c r="AA93" s="405">
        <f t="shared" si="7"/>
        <v>0</v>
      </c>
      <c r="AB93" s="405">
        <f t="shared" si="7"/>
        <v>0</v>
      </c>
      <c r="AC93" s="405">
        <f t="shared" si="7"/>
        <v>276600</v>
      </c>
      <c r="AD93" s="405">
        <f>SUM(AD74:AD91)</f>
        <v>178320</v>
      </c>
      <c r="AE93" s="405">
        <f t="shared" si="7"/>
        <v>0</v>
      </c>
      <c r="AF93" s="405">
        <f t="shared" si="7"/>
        <v>0</v>
      </c>
      <c r="AG93" s="405">
        <f t="shared" si="7"/>
        <v>0</v>
      </c>
      <c r="AH93" s="405">
        <f t="shared" si="7"/>
        <v>0</v>
      </c>
      <c r="AI93" s="405">
        <f>SUM(AI74:AI91)</f>
        <v>178320</v>
      </c>
      <c r="AJ93" s="412">
        <f>SUM(AI93+AC93+W93+Q93)</f>
        <v>849470</v>
      </c>
    </row>
    <row r="94" spans="1:36" ht="15.7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318"/>
      <c r="AJ94" s="318"/>
    </row>
    <row r="95" spans="1:36" s="83" customFormat="1" ht="15.75">
      <c r="A95" s="138" t="s">
        <v>339</v>
      </c>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row>
    <row r="96" spans="1:36" s="83" customFormat="1" ht="6.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row>
    <row r="97" spans="1:36" s="83" customFormat="1" ht="46.5" customHeight="1">
      <c r="A97" s="868"/>
      <c r="B97" s="856"/>
      <c r="C97" s="856"/>
      <c r="D97" s="1100" t="s">
        <v>0</v>
      </c>
      <c r="E97" s="1100" t="s">
        <v>340</v>
      </c>
      <c r="F97" s="1107" t="s">
        <v>5</v>
      </c>
      <c r="G97" s="1107"/>
      <c r="H97" s="1100" t="s">
        <v>22</v>
      </c>
      <c r="I97" s="1100" t="s">
        <v>211</v>
      </c>
      <c r="J97" s="1100" t="s">
        <v>212</v>
      </c>
      <c r="K97" s="1100" t="s">
        <v>213</v>
      </c>
      <c r="L97" s="1072" t="s">
        <v>214</v>
      </c>
      <c r="M97" s="1072"/>
      <c r="N97" s="1072"/>
      <c r="O97" s="1072"/>
      <c r="P97" s="1072"/>
      <c r="Q97" s="1072"/>
      <c r="R97" s="1072"/>
      <c r="S97" s="1072"/>
      <c r="T97" s="1072"/>
      <c r="U97" s="1072"/>
      <c r="V97" s="1072"/>
      <c r="W97" s="1072"/>
      <c r="X97" s="1072"/>
      <c r="Y97" s="1072"/>
      <c r="Z97" s="1072"/>
      <c r="AA97" s="1072"/>
      <c r="AB97" s="1072"/>
      <c r="AC97" s="1072"/>
      <c r="AD97" s="1072"/>
      <c r="AE97" s="1072"/>
      <c r="AF97" s="1072"/>
      <c r="AG97" s="1072"/>
      <c r="AH97" s="1072"/>
      <c r="AI97" s="315" t="s">
        <v>688</v>
      </c>
      <c r="AJ97" s="315" t="s">
        <v>689</v>
      </c>
    </row>
    <row r="98" spans="1:36" s="83" customFormat="1" ht="38.25">
      <c r="A98" s="1103" t="s">
        <v>341</v>
      </c>
      <c r="B98" s="856" t="s">
        <v>215</v>
      </c>
      <c r="C98" s="856" t="s">
        <v>279</v>
      </c>
      <c r="D98" s="1100"/>
      <c r="E98" s="1106"/>
      <c r="F98" s="1105" t="s">
        <v>217</v>
      </c>
      <c r="G98" s="1105" t="s">
        <v>6</v>
      </c>
      <c r="H98" s="1100"/>
      <c r="I98" s="1100"/>
      <c r="J98" s="1100"/>
      <c r="K98" s="1100"/>
      <c r="L98" s="1071" t="s">
        <v>12</v>
      </c>
      <c r="M98" s="1072"/>
      <c r="N98" s="1072"/>
      <c r="O98" s="1072"/>
      <c r="P98" s="1072"/>
      <c r="Q98" s="1072"/>
      <c r="R98" s="1071" t="s">
        <v>13</v>
      </c>
      <c r="S98" s="1072"/>
      <c r="T98" s="1072"/>
      <c r="U98" s="1072"/>
      <c r="V98" s="1072"/>
      <c r="W98" s="1072"/>
      <c r="X98" s="1071" t="s">
        <v>14</v>
      </c>
      <c r="Y98" s="1072"/>
      <c r="Z98" s="1072"/>
      <c r="AA98" s="1072"/>
      <c r="AB98" s="1072"/>
      <c r="AC98" s="1072"/>
      <c r="AD98" s="1071" t="s">
        <v>15</v>
      </c>
      <c r="AE98" s="1072"/>
      <c r="AF98" s="1072"/>
      <c r="AG98" s="1072"/>
      <c r="AH98" s="1072"/>
      <c r="AI98" s="313"/>
      <c r="AJ98" s="316"/>
    </row>
    <row r="99" spans="1:36" s="83" customFormat="1" ht="15.75">
      <c r="A99" s="1104"/>
      <c r="B99" s="856"/>
      <c r="C99" s="856"/>
      <c r="D99" s="1100"/>
      <c r="E99" s="1106"/>
      <c r="F99" s="1105"/>
      <c r="G99" s="1105"/>
      <c r="H99" s="1100"/>
      <c r="I99" s="1100"/>
      <c r="J99" s="1100"/>
      <c r="K99" s="1100"/>
      <c r="L99" s="855" t="s">
        <v>1</v>
      </c>
      <c r="M99" s="855" t="s">
        <v>9</v>
      </c>
      <c r="N99" s="855" t="s">
        <v>218</v>
      </c>
      <c r="O99" s="140" t="s">
        <v>17</v>
      </c>
      <c r="P99" s="140" t="s">
        <v>19</v>
      </c>
      <c r="Q99" s="140" t="s">
        <v>4</v>
      </c>
      <c r="R99" s="855" t="s">
        <v>1</v>
      </c>
      <c r="S99" s="855" t="s">
        <v>2</v>
      </c>
      <c r="T99" s="855" t="s">
        <v>219</v>
      </c>
      <c r="U99" s="855" t="s">
        <v>17</v>
      </c>
      <c r="V99" s="855" t="s">
        <v>19</v>
      </c>
      <c r="W99" s="855" t="s">
        <v>4</v>
      </c>
      <c r="X99" s="855" t="s">
        <v>1</v>
      </c>
      <c r="Y99" s="855" t="s">
        <v>9</v>
      </c>
      <c r="Z99" s="855" t="s">
        <v>218</v>
      </c>
      <c r="AA99" s="140" t="s">
        <v>17</v>
      </c>
      <c r="AB99" s="140" t="s">
        <v>19</v>
      </c>
      <c r="AC99" s="140" t="s">
        <v>4</v>
      </c>
      <c r="AD99" s="855" t="s">
        <v>1</v>
      </c>
      <c r="AE99" s="855" t="s">
        <v>9</v>
      </c>
      <c r="AF99" s="855" t="s">
        <v>219</v>
      </c>
      <c r="AG99" s="140" t="s">
        <v>17</v>
      </c>
      <c r="AH99" s="140" t="s">
        <v>19</v>
      </c>
      <c r="AI99" s="313"/>
      <c r="AJ99" s="313"/>
    </row>
    <row r="100" spans="1:36" s="83" customFormat="1" ht="15.75">
      <c r="A100" s="141" t="s">
        <v>33</v>
      </c>
      <c r="B100" s="141" t="s">
        <v>34</v>
      </c>
      <c r="C100" s="141" t="s">
        <v>45</v>
      </c>
      <c r="D100" s="141" t="s">
        <v>35</v>
      </c>
      <c r="E100" s="141" t="s">
        <v>36</v>
      </c>
      <c r="F100" s="141" t="s">
        <v>37</v>
      </c>
      <c r="G100" s="141" t="s">
        <v>38</v>
      </c>
      <c r="H100" s="142" t="s">
        <v>39</v>
      </c>
      <c r="I100" s="141" t="s">
        <v>40</v>
      </c>
      <c r="J100" s="143" t="s">
        <v>41</v>
      </c>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313"/>
      <c r="AJ100" s="313"/>
    </row>
    <row r="101" spans="1:36" s="83" customFormat="1" ht="15.75">
      <c r="A101" s="1101" t="s">
        <v>342</v>
      </c>
      <c r="B101" s="1102"/>
      <c r="C101" s="1102"/>
      <c r="D101" s="1102"/>
      <c r="E101" s="1102"/>
      <c r="F101" s="144"/>
      <c r="G101" s="145"/>
      <c r="H101" s="146"/>
      <c r="I101" s="145"/>
      <c r="J101" s="147"/>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313"/>
      <c r="AJ101" s="313"/>
    </row>
    <row r="102" spans="1:36" s="83" customFormat="1" ht="15.75">
      <c r="A102" s="1075" t="s">
        <v>343</v>
      </c>
      <c r="B102" s="1076"/>
      <c r="C102" s="1076"/>
      <c r="D102" s="1076"/>
      <c r="E102" s="1076"/>
      <c r="F102" s="148"/>
      <c r="G102" s="149"/>
      <c r="H102" s="150"/>
      <c r="I102" s="149"/>
      <c r="J102" s="151"/>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313"/>
      <c r="AJ102" s="313"/>
    </row>
    <row r="103" spans="1:36" s="83" customFormat="1" ht="15.75">
      <c r="A103" s="1075" t="s">
        <v>344</v>
      </c>
      <c r="B103" s="1076"/>
      <c r="C103" s="1076"/>
      <c r="D103" s="1076"/>
      <c r="E103" s="1076"/>
      <c r="F103" s="1076"/>
      <c r="G103" s="1076"/>
      <c r="H103" s="1076"/>
      <c r="I103" s="1076"/>
      <c r="J103" s="1076"/>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313"/>
      <c r="AJ103" s="313"/>
    </row>
    <row r="104" spans="1:36" s="83" customFormat="1" ht="15.75">
      <c r="A104" s="1075" t="s">
        <v>345</v>
      </c>
      <c r="B104" s="1076"/>
      <c r="C104" s="1076"/>
      <c r="D104" s="1076"/>
      <c r="E104" s="148"/>
      <c r="F104" s="148"/>
      <c r="G104" s="149"/>
      <c r="H104" s="150"/>
      <c r="I104" s="149"/>
      <c r="J104" s="151"/>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313"/>
      <c r="AJ104" s="313"/>
    </row>
    <row r="105" spans="1:36" s="83" customFormat="1" ht="15.75">
      <c r="A105" s="1075" t="s">
        <v>346</v>
      </c>
      <c r="B105" s="1076"/>
      <c r="C105" s="1076"/>
      <c r="D105" s="1077"/>
      <c r="E105" s="148"/>
      <c r="F105" s="148"/>
      <c r="G105" s="149"/>
      <c r="H105" s="150"/>
      <c r="I105" s="149"/>
      <c r="J105" s="151"/>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313"/>
      <c r="AJ105" s="313"/>
    </row>
    <row r="106" spans="1:36" s="83" customFormat="1" ht="15.75">
      <c r="A106" s="9" t="s">
        <v>352</v>
      </c>
      <c r="B106" s="149"/>
      <c r="C106" s="148"/>
      <c r="D106" s="149"/>
      <c r="E106" s="148"/>
      <c r="F106" s="148"/>
      <c r="G106" s="148"/>
      <c r="H106" s="148"/>
      <c r="I106" s="149"/>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313"/>
      <c r="AJ106" s="313"/>
    </row>
    <row r="107" spans="1:36" s="83" customFormat="1" ht="178.5">
      <c r="A107" s="871" t="s">
        <v>389</v>
      </c>
      <c r="B107" s="153"/>
      <c r="C107" s="154"/>
      <c r="D107" s="153" t="s">
        <v>347</v>
      </c>
      <c r="E107" s="154" t="s">
        <v>353</v>
      </c>
      <c r="F107" s="155" t="s">
        <v>138</v>
      </c>
      <c r="G107" s="155" t="s">
        <v>65</v>
      </c>
      <c r="H107" s="155" t="s">
        <v>391</v>
      </c>
      <c r="I107" s="153" t="s">
        <v>349</v>
      </c>
      <c r="J107" s="156" t="s">
        <v>355</v>
      </c>
      <c r="K107" s="155"/>
      <c r="L107" s="368">
        <v>602817</v>
      </c>
      <c r="M107" s="155"/>
      <c r="N107" s="155"/>
      <c r="O107" s="157"/>
      <c r="P107" s="155"/>
      <c r="Q107" s="368">
        <v>602817</v>
      </c>
      <c r="R107" s="155"/>
      <c r="S107" s="155"/>
      <c r="T107" s="155"/>
      <c r="U107" s="155"/>
      <c r="V107" s="155"/>
      <c r="W107" s="155"/>
      <c r="X107" s="148"/>
      <c r="Y107" s="148"/>
      <c r="Z107" s="148"/>
      <c r="AA107" s="148"/>
      <c r="AB107" s="148"/>
      <c r="AC107" s="148"/>
      <c r="AD107" s="148"/>
      <c r="AE107" s="148"/>
      <c r="AF107" s="148"/>
      <c r="AG107" s="148"/>
      <c r="AH107" s="148"/>
      <c r="AI107" s="313"/>
      <c r="AJ107" s="313"/>
    </row>
    <row r="108" spans="1:36" s="83" customFormat="1" ht="267.75">
      <c r="A108" s="9" t="s">
        <v>390</v>
      </c>
      <c r="B108" s="149"/>
      <c r="C108" s="151"/>
      <c r="D108" s="149" t="s">
        <v>347</v>
      </c>
      <c r="E108" s="151" t="s">
        <v>356</v>
      </c>
      <c r="F108" s="148" t="s">
        <v>80</v>
      </c>
      <c r="G108" s="148" t="s">
        <v>350</v>
      </c>
      <c r="H108" s="148" t="s">
        <v>391</v>
      </c>
      <c r="I108" s="149" t="s">
        <v>357</v>
      </c>
      <c r="J108" s="151" t="s">
        <v>358</v>
      </c>
      <c r="K108" s="148"/>
      <c r="L108" s="369">
        <v>86000</v>
      </c>
      <c r="M108" s="148"/>
      <c r="N108" s="148"/>
      <c r="O108" s="148"/>
      <c r="P108" s="148"/>
      <c r="Q108" s="369">
        <v>86000</v>
      </c>
      <c r="R108" s="148"/>
      <c r="S108" s="148"/>
      <c r="T108" s="148"/>
      <c r="U108" s="148"/>
      <c r="V108" s="148"/>
      <c r="W108" s="148"/>
      <c r="X108" s="148"/>
      <c r="Y108" s="148"/>
      <c r="Z108" s="148"/>
      <c r="AA108" s="148"/>
      <c r="AB108" s="148"/>
      <c r="AC108" s="148"/>
      <c r="AD108" s="148"/>
      <c r="AE108" s="148"/>
      <c r="AF108" s="148"/>
      <c r="AG108" s="148"/>
      <c r="AH108" s="148"/>
      <c r="AI108" s="313"/>
      <c r="AJ108" s="313"/>
    </row>
    <row r="109" spans="1:36" s="83" customFormat="1" ht="242.25">
      <c r="A109" s="4" t="s">
        <v>396</v>
      </c>
      <c r="B109" s="149"/>
      <c r="C109" s="148"/>
      <c r="D109" s="149" t="s">
        <v>347</v>
      </c>
      <c r="E109" s="148" t="s">
        <v>359</v>
      </c>
      <c r="F109" s="148" t="s">
        <v>80</v>
      </c>
      <c r="G109" s="148"/>
      <c r="H109" s="148" t="s">
        <v>354</v>
      </c>
      <c r="I109" s="149" t="s">
        <v>351</v>
      </c>
      <c r="J109" s="151" t="s">
        <v>358</v>
      </c>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313"/>
      <c r="AJ109" s="313"/>
    </row>
    <row r="110" spans="1:36" s="83" customFormat="1" ht="15.75">
      <c r="A110" s="1075" t="s">
        <v>360</v>
      </c>
      <c r="B110" s="1076"/>
      <c r="C110" s="1076"/>
      <c r="D110" s="1076"/>
      <c r="E110" s="1076"/>
      <c r="F110" s="148"/>
      <c r="G110" s="149"/>
      <c r="H110" s="150"/>
      <c r="I110" s="149"/>
      <c r="J110" s="151"/>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313"/>
      <c r="AJ110" s="313"/>
    </row>
    <row r="111" spans="1:36" s="83" customFormat="1" ht="15.75">
      <c r="A111" s="1075" t="s">
        <v>361</v>
      </c>
      <c r="B111" s="1076"/>
      <c r="C111" s="1076"/>
      <c r="D111" s="1076"/>
      <c r="E111" s="1076"/>
      <c r="F111" s="1076"/>
      <c r="G111" s="1076"/>
      <c r="H111" s="1076"/>
      <c r="I111" s="1076"/>
      <c r="J111" s="1076"/>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313"/>
      <c r="AJ111" s="313"/>
    </row>
    <row r="112" spans="1:36" s="83" customFormat="1" ht="15.75">
      <c r="A112" s="1075" t="s">
        <v>345</v>
      </c>
      <c r="B112" s="1076"/>
      <c r="C112" s="1076"/>
      <c r="D112" s="1076"/>
      <c r="E112" s="1076"/>
      <c r="F112" s="1076"/>
      <c r="G112" s="1076"/>
      <c r="H112" s="1076"/>
      <c r="I112" s="1076"/>
      <c r="J112" s="1076"/>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313"/>
      <c r="AJ112" s="313"/>
    </row>
    <row r="113" spans="1:36" s="83" customFormat="1" ht="15.75">
      <c r="A113" s="1136" t="s">
        <v>362</v>
      </c>
      <c r="B113" s="1136"/>
      <c r="C113" s="1136"/>
      <c r="D113" s="1136"/>
      <c r="E113" s="1136"/>
      <c r="F113" s="1136"/>
      <c r="G113" s="1136"/>
      <c r="H113" s="1136"/>
      <c r="I113" s="1136"/>
      <c r="J113" s="1075"/>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313"/>
      <c r="AJ113" s="313"/>
    </row>
    <row r="114" spans="1:36" s="83" customFormat="1" ht="306">
      <c r="A114" s="9" t="s">
        <v>363</v>
      </c>
      <c r="B114" s="149"/>
      <c r="C114" s="148"/>
      <c r="D114" s="149" t="s">
        <v>347</v>
      </c>
      <c r="E114" s="148" t="s">
        <v>364</v>
      </c>
      <c r="F114" s="148" t="s">
        <v>138</v>
      </c>
      <c r="G114" s="148" t="s">
        <v>65</v>
      </c>
      <c r="H114" s="148" t="s">
        <v>391</v>
      </c>
      <c r="I114" s="149" t="s">
        <v>348</v>
      </c>
      <c r="J114" s="151" t="s">
        <v>365</v>
      </c>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313"/>
      <c r="AJ114" s="313"/>
    </row>
    <row r="115" spans="1:36" s="83" customFormat="1" ht="63.75">
      <c r="A115" s="9" t="s">
        <v>366</v>
      </c>
      <c r="B115" s="149"/>
      <c r="C115" s="148"/>
      <c r="D115" s="149" t="s">
        <v>347</v>
      </c>
      <c r="E115" s="148"/>
      <c r="F115" s="148" t="s">
        <v>138</v>
      </c>
      <c r="G115" s="148" t="s">
        <v>65</v>
      </c>
      <c r="H115" s="148" t="s">
        <v>391</v>
      </c>
      <c r="I115" s="149" t="s">
        <v>348</v>
      </c>
      <c r="J115" s="151" t="s">
        <v>365</v>
      </c>
      <c r="K115" s="148"/>
      <c r="L115" s="369">
        <v>946000</v>
      </c>
      <c r="M115" s="148"/>
      <c r="N115" s="148"/>
      <c r="O115" s="148"/>
      <c r="P115" s="148"/>
      <c r="Q115" s="369">
        <v>946000</v>
      </c>
      <c r="R115" s="148"/>
      <c r="S115" s="148"/>
      <c r="T115" s="148"/>
      <c r="U115" s="148"/>
      <c r="V115" s="148"/>
      <c r="W115" s="148"/>
      <c r="X115" s="148"/>
      <c r="Y115" s="148"/>
      <c r="Z115" s="148"/>
      <c r="AA115" s="148"/>
      <c r="AB115" s="148"/>
      <c r="AC115" s="148"/>
      <c r="AD115" s="148"/>
      <c r="AE115" s="148"/>
      <c r="AF115" s="148"/>
      <c r="AG115" s="148"/>
      <c r="AH115" s="148"/>
      <c r="AI115" s="313"/>
      <c r="AJ115" s="313"/>
    </row>
    <row r="116" spans="1:36" s="83" customFormat="1" ht="216.75">
      <c r="A116" s="4" t="s">
        <v>367</v>
      </c>
      <c r="B116" s="149"/>
      <c r="C116" s="148"/>
      <c r="D116" s="149" t="s">
        <v>347</v>
      </c>
      <c r="E116" s="148" t="s">
        <v>368</v>
      </c>
      <c r="F116" s="148" t="s">
        <v>138</v>
      </c>
      <c r="G116" s="148" t="s">
        <v>65</v>
      </c>
      <c r="H116" s="148" t="s">
        <v>391</v>
      </c>
      <c r="I116" s="149" t="s">
        <v>348</v>
      </c>
      <c r="J116" s="151" t="s">
        <v>365</v>
      </c>
      <c r="K116" s="148"/>
      <c r="L116" s="370">
        <v>499402</v>
      </c>
      <c r="M116" s="148"/>
      <c r="N116" s="148"/>
      <c r="O116" s="157"/>
      <c r="P116" s="148"/>
      <c r="Q116" s="370">
        <v>499402</v>
      </c>
      <c r="R116" s="370">
        <v>644484</v>
      </c>
      <c r="S116" s="148"/>
      <c r="T116" s="148"/>
      <c r="U116" s="157"/>
      <c r="V116" s="148"/>
      <c r="W116" s="370">
        <v>644484</v>
      </c>
      <c r="X116" s="370">
        <v>789566</v>
      </c>
      <c r="Y116" s="148"/>
      <c r="Z116" s="148"/>
      <c r="AA116" s="148"/>
      <c r="AB116" s="148"/>
      <c r="AC116" s="370">
        <v>789566</v>
      </c>
      <c r="AD116" s="370">
        <v>934648</v>
      </c>
      <c r="AE116" s="148"/>
      <c r="AF116" s="148"/>
      <c r="AG116" s="157"/>
      <c r="AH116" s="148"/>
      <c r="AI116" s="400">
        <f>SUM(AD116:AH116)</f>
        <v>934648</v>
      </c>
      <c r="AJ116" s="313"/>
    </row>
    <row r="117" spans="1:36" s="83" customFormat="1" ht="76.5">
      <c r="A117" s="4" t="s">
        <v>369</v>
      </c>
      <c r="B117" s="149"/>
      <c r="C117" s="148"/>
      <c r="D117" s="149" t="s">
        <v>347</v>
      </c>
      <c r="E117" s="148"/>
      <c r="F117" s="148" t="s">
        <v>138</v>
      </c>
      <c r="G117" s="148" t="s">
        <v>65</v>
      </c>
      <c r="H117" s="148" t="s">
        <v>391</v>
      </c>
      <c r="I117" s="149" t="s">
        <v>348</v>
      </c>
      <c r="J117" s="151" t="s">
        <v>358</v>
      </c>
      <c r="K117" s="148"/>
      <c r="L117" s="371">
        <v>2707495</v>
      </c>
      <c r="M117" s="148"/>
      <c r="N117" s="148"/>
      <c r="O117" s="148"/>
      <c r="P117" s="148"/>
      <c r="Q117" s="371">
        <v>2707495</v>
      </c>
      <c r="R117" s="148"/>
      <c r="S117" s="148"/>
      <c r="T117" s="148"/>
      <c r="U117" s="148"/>
      <c r="V117" s="148"/>
      <c r="W117" s="148"/>
      <c r="X117" s="148"/>
      <c r="Y117" s="148"/>
      <c r="Z117" s="148"/>
      <c r="AA117" s="148"/>
      <c r="AB117" s="148"/>
      <c r="AC117" s="148"/>
      <c r="AD117" s="148"/>
      <c r="AE117" s="148"/>
      <c r="AF117" s="148"/>
      <c r="AG117" s="148"/>
      <c r="AH117" s="148"/>
      <c r="AI117" s="400">
        <f t="shared" ref="AI117:AI130" si="8">SUM(AD117:AH117)</f>
        <v>0</v>
      </c>
      <c r="AJ117" s="313"/>
    </row>
    <row r="118" spans="1:36" s="83" customFormat="1" ht="293.25">
      <c r="A118" s="4" t="s">
        <v>370</v>
      </c>
      <c r="B118" s="149"/>
      <c r="C118" s="148"/>
      <c r="D118" s="149" t="s">
        <v>347</v>
      </c>
      <c r="E118" s="148" t="s">
        <v>371</v>
      </c>
      <c r="F118" s="148" t="s">
        <v>372</v>
      </c>
      <c r="G118" s="148" t="s">
        <v>373</v>
      </c>
      <c r="H118" s="148" t="s">
        <v>391</v>
      </c>
      <c r="I118" s="149" t="s">
        <v>348</v>
      </c>
      <c r="J118" s="151" t="s">
        <v>358</v>
      </c>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400">
        <f t="shared" si="8"/>
        <v>0</v>
      </c>
      <c r="AJ118" s="313"/>
    </row>
    <row r="119" spans="1:36" s="83" customFormat="1" ht="409.5">
      <c r="A119" s="4" t="s">
        <v>374</v>
      </c>
      <c r="B119" s="149"/>
      <c r="C119" s="148"/>
      <c r="D119" s="149" t="s">
        <v>347</v>
      </c>
      <c r="E119" s="148" t="s">
        <v>375</v>
      </c>
      <c r="F119" s="148" t="s">
        <v>372</v>
      </c>
      <c r="G119" s="148" t="s">
        <v>373</v>
      </c>
      <c r="H119" s="148" t="s">
        <v>391</v>
      </c>
      <c r="I119" s="149" t="s">
        <v>348</v>
      </c>
      <c r="J119" s="151" t="s">
        <v>358</v>
      </c>
      <c r="K119" s="148"/>
      <c r="L119" s="371">
        <v>4300</v>
      </c>
      <c r="M119" s="148"/>
      <c r="N119" s="148"/>
      <c r="O119" s="148"/>
      <c r="P119" s="148"/>
      <c r="Q119" s="371">
        <v>4300</v>
      </c>
      <c r="R119" s="148"/>
      <c r="S119" s="148"/>
      <c r="T119" s="148"/>
      <c r="U119" s="148"/>
      <c r="V119" s="148"/>
      <c r="W119" s="148"/>
      <c r="X119" s="148"/>
      <c r="Y119" s="148"/>
      <c r="Z119" s="148"/>
      <c r="AA119" s="148"/>
      <c r="AB119" s="148"/>
      <c r="AC119" s="148"/>
      <c r="AD119" s="148"/>
      <c r="AE119" s="148"/>
      <c r="AF119" s="148"/>
      <c r="AG119" s="148"/>
      <c r="AH119" s="148"/>
      <c r="AI119" s="400">
        <f t="shared" si="8"/>
        <v>0</v>
      </c>
      <c r="AJ119" s="313"/>
    </row>
    <row r="120" spans="1:36" s="83" customFormat="1" ht="15.75">
      <c r="A120" s="1075" t="s">
        <v>376</v>
      </c>
      <c r="B120" s="1076"/>
      <c r="C120" s="1076"/>
      <c r="D120" s="1076"/>
      <c r="E120" s="1076"/>
      <c r="F120" s="1076"/>
      <c r="G120" s="1076"/>
      <c r="H120" s="1076"/>
      <c r="I120" s="1076"/>
      <c r="J120" s="1076"/>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51"/>
      <c r="AI120" s="400">
        <f t="shared" si="8"/>
        <v>0</v>
      </c>
      <c r="AJ120" s="327"/>
    </row>
    <row r="121" spans="1:36" s="83" customFormat="1" ht="15.75">
      <c r="A121" s="1075" t="s">
        <v>345</v>
      </c>
      <c r="B121" s="1076"/>
      <c r="C121" s="1076"/>
      <c r="D121" s="1076"/>
      <c r="E121" s="148"/>
      <c r="F121" s="148"/>
      <c r="G121" s="149"/>
      <c r="H121" s="150"/>
      <c r="I121" s="149"/>
      <c r="J121" s="151"/>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400">
        <f t="shared" si="8"/>
        <v>0</v>
      </c>
      <c r="AJ121" s="326"/>
    </row>
    <row r="122" spans="1:36" s="83" customFormat="1" ht="15.75">
      <c r="A122" s="1075" t="s">
        <v>362</v>
      </c>
      <c r="B122" s="1076"/>
      <c r="C122" s="1076"/>
      <c r="D122" s="1076"/>
      <c r="E122" s="1076"/>
      <c r="F122" s="1076"/>
      <c r="G122" s="1076"/>
      <c r="H122" s="1076"/>
      <c r="I122" s="1076"/>
      <c r="J122" s="1076"/>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400">
        <f t="shared" si="8"/>
        <v>0</v>
      </c>
      <c r="AJ122" s="326"/>
    </row>
    <row r="123" spans="1:36" s="83" customFormat="1" ht="267.75">
      <c r="A123" s="9" t="s">
        <v>377</v>
      </c>
      <c r="B123" s="149"/>
      <c r="C123" s="148"/>
      <c r="D123" s="149" t="s">
        <v>347</v>
      </c>
      <c r="E123" s="148" t="s">
        <v>378</v>
      </c>
      <c r="F123" s="148" t="s">
        <v>138</v>
      </c>
      <c r="G123" s="148" t="s">
        <v>65</v>
      </c>
      <c r="H123" s="148" t="s">
        <v>354</v>
      </c>
      <c r="I123" s="149" t="s">
        <v>348</v>
      </c>
      <c r="J123" s="151" t="s">
        <v>358</v>
      </c>
      <c r="K123" s="148"/>
      <c r="L123" s="148"/>
      <c r="M123" s="148"/>
      <c r="N123" s="148"/>
      <c r="O123" s="148"/>
      <c r="P123" s="148"/>
      <c r="Q123" s="148"/>
      <c r="R123" s="371">
        <v>3512756</v>
      </c>
      <c r="S123" s="148"/>
      <c r="T123" s="148"/>
      <c r="U123" s="148"/>
      <c r="V123" s="148"/>
      <c r="W123" s="371">
        <v>3512756</v>
      </c>
      <c r="X123" s="148"/>
      <c r="Y123" s="148"/>
      <c r="Z123" s="148"/>
      <c r="AA123" s="148"/>
      <c r="AB123" s="148"/>
      <c r="AC123" s="148"/>
      <c r="AD123" s="148"/>
      <c r="AE123" s="148"/>
      <c r="AF123" s="148"/>
      <c r="AG123" s="148"/>
      <c r="AH123" s="148"/>
      <c r="AI123" s="400">
        <f t="shared" si="8"/>
        <v>0</v>
      </c>
      <c r="AJ123" s="326"/>
    </row>
    <row r="124" spans="1:36" s="83" customFormat="1" ht="15.75">
      <c r="A124" s="1075" t="s">
        <v>379</v>
      </c>
      <c r="B124" s="1076"/>
      <c r="C124" s="1076"/>
      <c r="D124" s="1076"/>
      <c r="E124" s="1076"/>
      <c r="F124" s="1076"/>
      <c r="G124" s="1076"/>
      <c r="H124" s="1076"/>
      <c r="I124" s="1076"/>
      <c r="J124" s="1076"/>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400"/>
      <c r="AJ124" s="326"/>
    </row>
    <row r="125" spans="1:36" s="83" customFormat="1" ht="15.75">
      <c r="A125" s="1075" t="s">
        <v>345</v>
      </c>
      <c r="B125" s="1076"/>
      <c r="C125" s="1076"/>
      <c r="D125" s="1076"/>
      <c r="E125" s="1076"/>
      <c r="F125" s="1076"/>
      <c r="G125" s="1076"/>
      <c r="H125" s="1076"/>
      <c r="I125" s="1076"/>
      <c r="J125" s="1076"/>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400"/>
      <c r="AJ125" s="326"/>
    </row>
    <row r="126" spans="1:36" s="83" customFormat="1" ht="15.75">
      <c r="A126" s="1075" t="s">
        <v>362</v>
      </c>
      <c r="B126" s="1076"/>
      <c r="C126" s="1076"/>
      <c r="D126" s="1076"/>
      <c r="E126" s="1076"/>
      <c r="F126" s="1076"/>
      <c r="G126" s="1076"/>
      <c r="H126" s="1076"/>
      <c r="I126" s="1076"/>
      <c r="J126" s="1076"/>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400"/>
      <c r="AJ126" s="326"/>
    </row>
    <row r="127" spans="1:36" s="83" customFormat="1" ht="369.75">
      <c r="A127" s="9" t="s">
        <v>380</v>
      </c>
      <c r="B127" s="149"/>
      <c r="C127" s="151"/>
      <c r="D127" s="149" t="s">
        <v>347</v>
      </c>
      <c r="E127" s="151" t="s">
        <v>381</v>
      </c>
      <c r="F127" s="148" t="s">
        <v>80</v>
      </c>
      <c r="G127" s="148" t="s">
        <v>350</v>
      </c>
      <c r="H127" s="148" t="s">
        <v>391</v>
      </c>
      <c r="I127" s="149" t="s">
        <v>348</v>
      </c>
      <c r="J127" s="151" t="s">
        <v>358</v>
      </c>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400">
        <f t="shared" si="8"/>
        <v>0</v>
      </c>
      <c r="AJ127" s="326"/>
    </row>
    <row r="128" spans="1:36" s="83" customFormat="1" ht="15.75">
      <c r="A128" s="1075" t="s">
        <v>382</v>
      </c>
      <c r="B128" s="1076"/>
      <c r="C128" s="1076"/>
      <c r="D128" s="1076"/>
      <c r="E128" s="1076"/>
      <c r="F128" s="1076"/>
      <c r="G128" s="1076"/>
      <c r="H128" s="1076"/>
      <c r="I128" s="1076"/>
      <c r="J128" s="1076"/>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400">
        <f t="shared" si="8"/>
        <v>0</v>
      </c>
      <c r="AJ128" s="326"/>
    </row>
    <row r="129" spans="1:36" s="83" customFormat="1" ht="63.75">
      <c r="A129" s="148" t="s">
        <v>383</v>
      </c>
      <c r="B129" s="149"/>
      <c r="C129" s="148"/>
      <c r="D129" s="149" t="s">
        <v>347</v>
      </c>
      <c r="E129" s="148"/>
      <c r="F129" s="148" t="s">
        <v>80</v>
      </c>
      <c r="G129" s="148" t="s">
        <v>350</v>
      </c>
      <c r="H129" s="148" t="s">
        <v>391</v>
      </c>
      <c r="I129" s="149" t="s">
        <v>348</v>
      </c>
      <c r="J129" s="151" t="s">
        <v>384</v>
      </c>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400">
        <f t="shared" si="8"/>
        <v>0</v>
      </c>
      <c r="AJ129" s="326"/>
    </row>
    <row r="130" spans="1:36" s="83" customFormat="1" ht="63.75">
      <c r="A130" s="9" t="s">
        <v>385</v>
      </c>
      <c r="B130" s="149"/>
      <c r="C130" s="148"/>
      <c r="D130" s="149" t="s">
        <v>347</v>
      </c>
      <c r="E130" s="148"/>
      <c r="F130" s="148" t="s">
        <v>138</v>
      </c>
      <c r="G130" s="148" t="s">
        <v>65</v>
      </c>
      <c r="H130" s="148" t="s">
        <v>391</v>
      </c>
      <c r="I130" s="149" t="s">
        <v>348</v>
      </c>
      <c r="J130" s="151" t="s">
        <v>386</v>
      </c>
      <c r="K130" s="148"/>
      <c r="L130" s="369">
        <v>619200</v>
      </c>
      <c r="M130" s="158"/>
      <c r="N130" s="158"/>
      <c r="O130" s="158"/>
      <c r="P130" s="158"/>
      <c r="Q130" s="369">
        <v>619200</v>
      </c>
      <c r="R130" s="369">
        <v>743040</v>
      </c>
      <c r="S130" s="148"/>
      <c r="T130" s="148"/>
      <c r="U130" s="148"/>
      <c r="V130" s="148"/>
      <c r="W130" s="369">
        <v>743040</v>
      </c>
      <c r="X130" s="148"/>
      <c r="Y130" s="148"/>
      <c r="Z130" s="148"/>
      <c r="AA130" s="148"/>
      <c r="AB130" s="148"/>
      <c r="AC130" s="148"/>
      <c r="AD130" s="148"/>
      <c r="AE130" s="148"/>
      <c r="AF130" s="148"/>
      <c r="AG130" s="148"/>
      <c r="AH130" s="148"/>
      <c r="AI130" s="400">
        <f t="shared" si="8"/>
        <v>0</v>
      </c>
      <c r="AJ130" s="326"/>
    </row>
    <row r="131" spans="1:36" s="964" customFormat="1" ht="331.5">
      <c r="A131" s="960" t="s">
        <v>387</v>
      </c>
      <c r="B131" s="911"/>
      <c r="C131" s="912"/>
      <c r="D131" s="911" t="s">
        <v>347</v>
      </c>
      <c r="E131" s="912" t="s">
        <v>388</v>
      </c>
      <c r="F131" s="912" t="s">
        <v>80</v>
      </c>
      <c r="G131" s="912" t="s">
        <v>350</v>
      </c>
      <c r="H131" s="912" t="s">
        <v>391</v>
      </c>
      <c r="I131" s="911" t="s">
        <v>348</v>
      </c>
      <c r="J131" s="914" t="s">
        <v>386</v>
      </c>
      <c r="K131" s="912"/>
      <c r="L131" s="931">
        <v>743040</v>
      </c>
      <c r="M131" s="929"/>
      <c r="N131" s="929"/>
      <c r="O131" s="929"/>
      <c r="P131" s="929"/>
      <c r="Q131" s="931">
        <v>743040</v>
      </c>
      <c r="R131" s="931">
        <v>891648</v>
      </c>
      <c r="S131" s="912"/>
      <c r="T131" s="912"/>
      <c r="U131" s="912"/>
      <c r="V131" s="912"/>
      <c r="W131" s="931">
        <v>891648</v>
      </c>
      <c r="X131" s="961">
        <v>1069977</v>
      </c>
      <c r="Y131" s="929"/>
      <c r="Z131" s="929"/>
      <c r="AA131" s="929"/>
      <c r="AB131" s="929"/>
      <c r="AC131" s="961">
        <f>SUM(X131)</f>
        <v>1069977</v>
      </c>
      <c r="AD131" s="961">
        <v>1283973</v>
      </c>
      <c r="AE131" s="912"/>
      <c r="AF131" s="912"/>
      <c r="AG131" s="912"/>
      <c r="AH131" s="912"/>
      <c r="AI131" s="962">
        <f>SUM(AD131:AH131)</f>
        <v>1283973</v>
      </c>
      <c r="AJ131" s="963"/>
    </row>
    <row r="132" spans="1:36" s="83" customFormat="1" ht="15.75">
      <c r="A132" s="166" t="s">
        <v>276</v>
      </c>
      <c r="B132" s="167"/>
      <c r="C132" s="168"/>
      <c r="D132" s="167"/>
      <c r="E132" s="168"/>
      <c r="F132" s="169"/>
      <c r="G132" s="169"/>
      <c r="H132" s="169"/>
      <c r="I132" s="170"/>
      <c r="J132" s="171"/>
      <c r="K132" s="172"/>
      <c r="L132" s="372">
        <v>9557954</v>
      </c>
      <c r="M132" s="174"/>
      <c r="N132" s="174"/>
      <c r="O132" s="173"/>
      <c r="P132" s="174"/>
      <c r="Q132" s="372">
        <f>SUM(L132+O132)</f>
        <v>9557954</v>
      </c>
      <c r="R132" s="372">
        <v>5791928</v>
      </c>
      <c r="S132" s="175"/>
      <c r="T132" s="175"/>
      <c r="U132" s="176"/>
      <c r="V132" s="175"/>
      <c r="W132" s="372">
        <f>SUM(R132+U132)</f>
        <v>5791928</v>
      </c>
      <c r="X132" s="372">
        <v>1859544</v>
      </c>
      <c r="Y132" s="174"/>
      <c r="Z132" s="174"/>
      <c r="AA132" s="173"/>
      <c r="AB132" s="174"/>
      <c r="AC132" s="372">
        <f>SUM(X132+AA132)</f>
        <v>1859544</v>
      </c>
      <c r="AD132" s="173">
        <v>2218.6210000000001</v>
      </c>
      <c r="AE132" s="175"/>
      <c r="AF132" s="175"/>
      <c r="AG132" s="176"/>
      <c r="AH132" s="175"/>
      <c r="AI132" s="328">
        <v>2218621</v>
      </c>
      <c r="AJ132" s="329">
        <v>19428049</v>
      </c>
    </row>
    <row r="133" spans="1:36" s="83" customFormat="1" ht="15.75">
      <c r="A133" s="413"/>
      <c r="B133" s="414"/>
      <c r="C133" s="415"/>
      <c r="D133" s="414"/>
      <c r="E133" s="415"/>
      <c r="F133" s="416"/>
      <c r="G133" s="416"/>
      <c r="H133" s="416"/>
      <c r="I133" s="417"/>
      <c r="J133" s="418"/>
      <c r="K133" s="295"/>
      <c r="L133" s="420">
        <f>SUM(L102:L131)</f>
        <v>6208254</v>
      </c>
      <c r="M133" s="420">
        <f t="shared" ref="M133:AH133" si="9">SUM(M102:M131)</f>
        <v>0</v>
      </c>
      <c r="N133" s="420">
        <f t="shared" si="9"/>
        <v>0</v>
      </c>
      <c r="O133" s="420">
        <f t="shared" si="9"/>
        <v>0</v>
      </c>
      <c r="P133" s="420">
        <f t="shared" si="9"/>
        <v>0</v>
      </c>
      <c r="Q133" s="420">
        <f>SUM(Q102:Q131)</f>
        <v>6208254</v>
      </c>
      <c r="R133" s="420">
        <f t="shared" si="9"/>
        <v>5791928</v>
      </c>
      <c r="S133" s="420">
        <f t="shared" si="9"/>
        <v>0</v>
      </c>
      <c r="T133" s="420">
        <f t="shared" si="9"/>
        <v>0</v>
      </c>
      <c r="U133" s="420">
        <f t="shared" si="9"/>
        <v>0</v>
      </c>
      <c r="V133" s="420">
        <f t="shared" si="9"/>
        <v>0</v>
      </c>
      <c r="W133" s="420">
        <f t="shared" si="9"/>
        <v>5791928</v>
      </c>
      <c r="X133" s="420">
        <f t="shared" si="9"/>
        <v>1859543</v>
      </c>
      <c r="Y133" s="420">
        <f t="shared" si="9"/>
        <v>0</v>
      </c>
      <c r="Z133" s="420">
        <f t="shared" si="9"/>
        <v>0</v>
      </c>
      <c r="AA133" s="420">
        <f t="shared" si="9"/>
        <v>0</v>
      </c>
      <c r="AB133" s="420">
        <f t="shared" si="9"/>
        <v>0</v>
      </c>
      <c r="AC133" s="420">
        <f t="shared" si="9"/>
        <v>1859543</v>
      </c>
      <c r="AD133" s="420">
        <f t="shared" si="9"/>
        <v>2218621</v>
      </c>
      <c r="AE133" s="420">
        <f t="shared" si="9"/>
        <v>0</v>
      </c>
      <c r="AF133" s="420">
        <f t="shared" si="9"/>
        <v>0</v>
      </c>
      <c r="AG133" s="420">
        <f t="shared" si="9"/>
        <v>0</v>
      </c>
      <c r="AH133" s="420">
        <f t="shared" si="9"/>
        <v>0</v>
      </c>
      <c r="AI133" s="420">
        <f>SUM(AI102:AI131)</f>
        <v>2218621</v>
      </c>
      <c r="AJ133" s="419">
        <f>SUM(AI133+AC133+W133+Q133)</f>
        <v>16078346</v>
      </c>
    </row>
    <row r="134" spans="1:36">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J134" s="486">
        <f>AI133+AC133+W133+Q133</f>
        <v>16078346</v>
      </c>
    </row>
    <row r="135" spans="1:36">
      <c r="A135" s="138" t="s">
        <v>407</v>
      </c>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row>
    <row r="136" spans="1:36" ht="7.5" customHeight="1" thickBo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row>
    <row r="137" spans="1:36" ht="30.75" customHeight="1">
      <c r="A137" s="1126"/>
      <c r="B137" s="1129" t="s">
        <v>215</v>
      </c>
      <c r="C137" s="1129" t="s">
        <v>279</v>
      </c>
      <c r="D137" s="1132" t="s">
        <v>0</v>
      </c>
      <c r="E137" s="1121" t="s">
        <v>210</v>
      </c>
      <c r="F137" s="1134" t="s">
        <v>5</v>
      </c>
      <c r="G137" s="1135"/>
      <c r="H137" s="1056" t="s">
        <v>22</v>
      </c>
      <c r="I137" s="1118" t="s">
        <v>281</v>
      </c>
      <c r="J137" s="1121" t="s">
        <v>212</v>
      </c>
      <c r="K137" s="1121" t="s">
        <v>282</v>
      </c>
      <c r="L137" s="1056" t="s">
        <v>452</v>
      </c>
      <c r="M137" s="1124"/>
      <c r="N137" s="1124"/>
      <c r="O137" s="1124"/>
      <c r="P137" s="1124"/>
      <c r="Q137" s="1125"/>
      <c r="R137" s="1056" t="s">
        <v>453</v>
      </c>
      <c r="S137" s="1124"/>
      <c r="T137" s="1124"/>
      <c r="U137" s="1124"/>
      <c r="V137" s="1124"/>
      <c r="W137" s="1125"/>
      <c r="X137" s="1056" t="s">
        <v>453</v>
      </c>
      <c r="Y137" s="1124"/>
      <c r="Z137" s="1124"/>
      <c r="AA137" s="1124"/>
      <c r="AB137" s="1124"/>
      <c r="AC137" s="1125"/>
      <c r="AD137" s="1056" t="s">
        <v>454</v>
      </c>
      <c r="AE137" s="1057"/>
      <c r="AF137" s="1057"/>
      <c r="AG137" s="1057"/>
      <c r="AH137" s="1057"/>
      <c r="AI137" s="331"/>
      <c r="AJ137" s="331"/>
    </row>
    <row r="138" spans="1:36" ht="15" customHeight="1">
      <c r="A138" s="1127"/>
      <c r="B138" s="1130"/>
      <c r="C138" s="1130"/>
      <c r="D138" s="1115"/>
      <c r="E138" s="1122"/>
      <c r="F138" s="1111" t="s">
        <v>455</v>
      </c>
      <c r="G138" s="1113" t="s">
        <v>6</v>
      </c>
      <c r="H138" s="1116"/>
      <c r="I138" s="1119"/>
      <c r="J138" s="1122"/>
      <c r="K138" s="1122"/>
      <c r="L138" s="1108">
        <v>2013</v>
      </c>
      <c r="M138" s="1109"/>
      <c r="N138" s="1109"/>
      <c r="O138" s="1109"/>
      <c r="P138" s="1109"/>
      <c r="Q138" s="1110"/>
      <c r="R138" s="1115">
        <v>2014</v>
      </c>
      <c r="S138" s="1115"/>
      <c r="T138" s="1115"/>
      <c r="U138" s="1115"/>
      <c r="V138" s="1115"/>
      <c r="W138" s="1115"/>
      <c r="X138" s="1115">
        <v>2015</v>
      </c>
      <c r="Y138" s="1115"/>
      <c r="Z138" s="1115"/>
      <c r="AA138" s="1115"/>
      <c r="AB138" s="1115"/>
      <c r="AC138" s="1115"/>
      <c r="AD138" s="1115">
        <v>2016</v>
      </c>
      <c r="AE138" s="1115"/>
      <c r="AF138" s="1115"/>
      <c r="AG138" s="1115"/>
      <c r="AH138" s="1115"/>
      <c r="AI138" s="330"/>
      <c r="AJ138" s="330"/>
    </row>
    <row r="139" spans="1:36" ht="43.5" customHeight="1" thickBot="1">
      <c r="A139" s="1128"/>
      <c r="B139" s="1131"/>
      <c r="C139" s="1131"/>
      <c r="D139" s="1133"/>
      <c r="E139" s="1123"/>
      <c r="F139" s="1112"/>
      <c r="G139" s="1114"/>
      <c r="H139" s="1117"/>
      <c r="I139" s="1120"/>
      <c r="J139" s="1123"/>
      <c r="K139" s="1123"/>
      <c r="L139" s="197" t="s">
        <v>1</v>
      </c>
      <c r="M139" s="198" t="s">
        <v>2</v>
      </c>
      <c r="N139" s="197" t="s">
        <v>3</v>
      </c>
      <c r="O139" s="197" t="s">
        <v>66</v>
      </c>
      <c r="P139" s="198" t="s">
        <v>19</v>
      </c>
      <c r="Q139" s="197" t="s">
        <v>4</v>
      </c>
      <c r="R139" s="197" t="s">
        <v>1</v>
      </c>
      <c r="S139" s="198" t="s">
        <v>2</v>
      </c>
      <c r="T139" s="197" t="s">
        <v>3</v>
      </c>
      <c r="U139" s="197" t="s">
        <v>66</v>
      </c>
      <c r="V139" s="198" t="s">
        <v>19</v>
      </c>
      <c r="W139" s="197" t="s">
        <v>4</v>
      </c>
      <c r="X139" s="197" t="s">
        <v>1</v>
      </c>
      <c r="Y139" s="198" t="s">
        <v>2</v>
      </c>
      <c r="Z139" s="197" t="s">
        <v>3</v>
      </c>
      <c r="AA139" s="197" t="s">
        <v>66</v>
      </c>
      <c r="AB139" s="198" t="s">
        <v>19</v>
      </c>
      <c r="AC139" s="197" t="s">
        <v>4</v>
      </c>
      <c r="AD139" s="197" t="s">
        <v>1</v>
      </c>
      <c r="AE139" s="198" t="s">
        <v>2</v>
      </c>
      <c r="AF139" s="197" t="s">
        <v>3</v>
      </c>
      <c r="AG139" s="197" t="s">
        <v>66</v>
      </c>
      <c r="AH139" s="198" t="s">
        <v>19</v>
      </c>
      <c r="AI139" s="333" t="s">
        <v>688</v>
      </c>
      <c r="AJ139" s="334" t="s">
        <v>691</v>
      </c>
    </row>
    <row r="140" spans="1:36">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330"/>
      <c r="AJ140" s="330"/>
    </row>
    <row r="141" spans="1:36" ht="139.5" customHeight="1">
      <c r="A141" s="201" t="s">
        <v>678</v>
      </c>
      <c r="B141" s="202"/>
      <c r="C141" s="203"/>
      <c r="D141" s="196" t="s">
        <v>407</v>
      </c>
      <c r="E141" s="204" t="s">
        <v>408</v>
      </c>
      <c r="F141" s="205"/>
      <c r="G141" s="205"/>
      <c r="H141" s="206"/>
      <c r="I141" s="207"/>
      <c r="J141" s="208"/>
      <c r="K141" s="205"/>
      <c r="L141" s="489">
        <v>41666</v>
      </c>
      <c r="M141" s="490"/>
      <c r="N141" s="490"/>
      <c r="O141" s="490"/>
      <c r="P141" s="490"/>
      <c r="Q141" s="491">
        <f>SUM(L141:P141)</f>
        <v>41666</v>
      </c>
      <c r="R141" s="489">
        <v>41666</v>
      </c>
      <c r="S141" s="490"/>
      <c r="T141" s="490"/>
      <c r="U141" s="490"/>
      <c r="V141" s="490"/>
      <c r="W141" s="491">
        <f>SUM(R141:V141)</f>
        <v>41666</v>
      </c>
      <c r="X141" s="489">
        <v>41666</v>
      </c>
      <c r="Y141" s="490"/>
      <c r="Z141" s="490"/>
      <c r="AA141" s="490"/>
      <c r="AB141" s="490"/>
      <c r="AC141" s="491">
        <f>SUM(X141:AB141)</f>
        <v>41666</v>
      </c>
      <c r="AD141" s="489">
        <v>41666</v>
      </c>
      <c r="AE141" s="490"/>
      <c r="AF141" s="490"/>
      <c r="AG141" s="490"/>
      <c r="AH141" s="490"/>
      <c r="AI141" s="491">
        <f>SUM(AD141:AH141)</f>
        <v>41666</v>
      </c>
      <c r="AJ141" s="330"/>
    </row>
    <row r="142" spans="1:36" ht="178.5">
      <c r="A142" s="207"/>
      <c r="B142" s="203"/>
      <c r="C142" s="203"/>
      <c r="D142" s="196" t="s">
        <v>407</v>
      </c>
      <c r="E142" s="200" t="s">
        <v>409</v>
      </c>
      <c r="F142" s="205"/>
      <c r="G142" s="205"/>
      <c r="H142" s="206"/>
      <c r="I142" s="207"/>
      <c r="J142" s="208"/>
      <c r="K142" s="205"/>
      <c r="L142" s="205"/>
      <c r="M142" s="205"/>
      <c r="N142" s="205"/>
      <c r="O142" s="205"/>
      <c r="P142" s="205"/>
      <c r="Q142" s="205"/>
      <c r="R142" s="205"/>
      <c r="S142" s="205"/>
      <c r="T142" s="205"/>
      <c r="U142" s="205"/>
      <c r="V142" s="205"/>
      <c r="W142" s="491">
        <f t="shared" ref="W142:W149" si="10">SUM(R142:V142)</f>
        <v>0</v>
      </c>
      <c r="X142" s="205"/>
      <c r="Y142" s="205"/>
      <c r="Z142" s="205"/>
      <c r="AA142" s="205"/>
      <c r="AB142" s="205"/>
      <c r="AC142" s="205"/>
      <c r="AD142" s="205"/>
      <c r="AE142" s="205"/>
      <c r="AF142" s="205"/>
      <c r="AG142" s="205"/>
      <c r="AH142" s="205"/>
      <c r="AI142" s="205"/>
      <c r="AJ142" s="330"/>
    </row>
    <row r="143" spans="1:36" ht="89.25">
      <c r="A143" s="207"/>
      <c r="B143" s="203"/>
      <c r="C143" s="203"/>
      <c r="D143" s="196" t="s">
        <v>407</v>
      </c>
      <c r="E143" s="203" t="s">
        <v>410</v>
      </c>
      <c r="F143" s="205"/>
      <c r="G143" s="205"/>
      <c r="H143" s="206"/>
      <c r="I143" s="207"/>
      <c r="J143" s="208"/>
      <c r="K143" s="205"/>
      <c r="L143" s="205"/>
      <c r="M143" s="205"/>
      <c r="N143" s="205"/>
      <c r="O143" s="205"/>
      <c r="P143" s="205"/>
      <c r="Q143" s="205"/>
      <c r="R143" s="205"/>
      <c r="S143" s="205"/>
      <c r="T143" s="205"/>
      <c r="U143" s="205"/>
      <c r="V143" s="205"/>
      <c r="W143" s="491">
        <f t="shared" si="10"/>
        <v>0</v>
      </c>
      <c r="X143" s="205"/>
      <c r="Y143" s="205"/>
      <c r="Z143" s="205"/>
      <c r="AA143" s="205"/>
      <c r="AB143" s="205"/>
      <c r="AC143" s="205"/>
      <c r="AD143" s="205"/>
      <c r="AE143" s="205"/>
      <c r="AF143" s="205"/>
      <c r="AG143" s="205"/>
      <c r="AH143" s="205"/>
      <c r="AI143" s="205"/>
      <c r="AJ143" s="330"/>
    </row>
    <row r="144" spans="1:36" ht="102">
      <c r="A144" s="207"/>
      <c r="B144" s="203"/>
      <c r="C144" s="203"/>
      <c r="D144" s="196" t="s">
        <v>407</v>
      </c>
      <c r="E144" s="203" t="s">
        <v>411</v>
      </c>
      <c r="F144" s="205"/>
      <c r="G144" s="205"/>
      <c r="H144" s="206"/>
      <c r="I144" s="207"/>
      <c r="J144" s="208"/>
      <c r="K144" s="205"/>
      <c r="L144" s="205"/>
      <c r="M144" s="205"/>
      <c r="N144" s="205"/>
      <c r="O144" s="205"/>
      <c r="P144" s="205"/>
      <c r="Q144" s="205"/>
      <c r="R144" s="205"/>
      <c r="S144" s="205"/>
      <c r="T144" s="205"/>
      <c r="U144" s="205"/>
      <c r="V144" s="205"/>
      <c r="W144" s="491">
        <f t="shared" si="10"/>
        <v>0</v>
      </c>
      <c r="X144" s="205"/>
      <c r="Y144" s="205"/>
      <c r="Z144" s="205"/>
      <c r="AA144" s="205"/>
      <c r="AB144" s="205"/>
      <c r="AC144" s="205"/>
      <c r="AD144" s="205"/>
      <c r="AE144" s="205"/>
      <c r="AF144" s="205"/>
      <c r="AG144" s="205"/>
      <c r="AH144" s="205"/>
      <c r="AI144" s="205"/>
      <c r="AJ144" s="330"/>
    </row>
    <row r="145" spans="1:36" ht="76.5">
      <c r="A145" s="201" t="s">
        <v>679</v>
      </c>
      <c r="B145" s="210"/>
      <c r="C145" s="210"/>
      <c r="D145" s="196" t="s">
        <v>407</v>
      </c>
      <c r="E145" s="210" t="s">
        <v>412</v>
      </c>
      <c r="F145" s="205"/>
      <c r="G145" s="205"/>
      <c r="H145" s="206"/>
      <c r="I145" s="207"/>
      <c r="J145" s="208"/>
      <c r="K145" s="205"/>
      <c r="L145" s="492">
        <v>6666</v>
      </c>
      <c r="M145" s="490"/>
      <c r="N145" s="490"/>
      <c r="O145" s="490"/>
      <c r="P145" s="490"/>
      <c r="Q145" s="493">
        <f>SUM(L145:P145)</f>
        <v>6666</v>
      </c>
      <c r="R145" s="492">
        <v>6666</v>
      </c>
      <c r="S145" s="205"/>
      <c r="T145" s="205"/>
      <c r="U145" s="205"/>
      <c r="V145" s="205"/>
      <c r="W145" s="491">
        <f t="shared" si="10"/>
        <v>6666</v>
      </c>
      <c r="X145" s="492">
        <v>6666</v>
      </c>
      <c r="Y145" s="490"/>
      <c r="Z145" s="490"/>
      <c r="AA145" s="490"/>
      <c r="AB145" s="490"/>
      <c r="AC145" s="493">
        <f>SUM(X145:AB145)</f>
        <v>6666</v>
      </c>
      <c r="AD145" s="492">
        <v>6666</v>
      </c>
      <c r="AE145" s="490"/>
      <c r="AF145" s="490"/>
      <c r="AG145" s="490"/>
      <c r="AH145" s="490"/>
      <c r="AI145" s="491">
        <f>SUM(AD145:AH145)</f>
        <v>6666</v>
      </c>
      <c r="AJ145" s="330"/>
    </row>
    <row r="146" spans="1:36" ht="89.25">
      <c r="A146" s="201"/>
      <c r="B146" s="210"/>
      <c r="C146" s="210"/>
      <c r="D146" s="196" t="s">
        <v>407</v>
      </c>
      <c r="E146" s="210" t="s">
        <v>413</v>
      </c>
      <c r="F146" s="205"/>
      <c r="G146" s="205"/>
      <c r="H146" s="206"/>
      <c r="I146" s="207"/>
      <c r="J146" s="208"/>
      <c r="K146" s="205"/>
      <c r="L146" s="205"/>
      <c r="M146" s="205"/>
      <c r="N146" s="205"/>
      <c r="O146" s="205"/>
      <c r="P146" s="205"/>
      <c r="Q146" s="205"/>
      <c r="R146" s="205"/>
      <c r="S146" s="205"/>
      <c r="T146" s="205"/>
      <c r="U146" s="205"/>
      <c r="V146" s="205"/>
      <c r="W146" s="491">
        <f t="shared" si="10"/>
        <v>0</v>
      </c>
      <c r="X146" s="205"/>
      <c r="Y146" s="205"/>
      <c r="Z146" s="205"/>
      <c r="AA146" s="205"/>
      <c r="AB146" s="205"/>
      <c r="AC146" s="205"/>
      <c r="AD146" s="205"/>
      <c r="AE146" s="205"/>
      <c r="AF146" s="205"/>
      <c r="AG146" s="205"/>
      <c r="AH146" s="205"/>
      <c r="AI146" s="205"/>
      <c r="AJ146" s="330"/>
    </row>
    <row r="147" spans="1:36" ht="76.5">
      <c r="A147" s="201"/>
      <c r="B147" s="210"/>
      <c r="C147" s="210"/>
      <c r="D147" s="196" t="s">
        <v>407</v>
      </c>
      <c r="E147" s="210" t="s">
        <v>414</v>
      </c>
      <c r="F147" s="205"/>
      <c r="G147" s="205"/>
      <c r="H147" s="206"/>
      <c r="I147" s="207"/>
      <c r="J147" s="208"/>
      <c r="K147" s="205"/>
      <c r="L147" s="205"/>
      <c r="M147" s="205"/>
      <c r="N147" s="205"/>
      <c r="O147" s="205"/>
      <c r="P147" s="205"/>
      <c r="Q147" s="205"/>
      <c r="R147" s="205"/>
      <c r="S147" s="205"/>
      <c r="T147" s="205"/>
      <c r="U147" s="205"/>
      <c r="V147" s="205"/>
      <c r="W147" s="491">
        <f t="shared" si="10"/>
        <v>0</v>
      </c>
      <c r="X147" s="205"/>
      <c r="Y147" s="205"/>
      <c r="Z147" s="205"/>
      <c r="AA147" s="205"/>
      <c r="AB147" s="205"/>
      <c r="AC147" s="205"/>
      <c r="AD147" s="205"/>
      <c r="AE147" s="205"/>
      <c r="AF147" s="205"/>
      <c r="AG147" s="205"/>
      <c r="AH147" s="205"/>
      <c r="AI147" s="205"/>
      <c r="AJ147" s="330"/>
    </row>
    <row r="148" spans="1:36" ht="127.5">
      <c r="A148" s="201"/>
      <c r="B148" s="210"/>
      <c r="C148" s="210"/>
      <c r="D148" s="196" t="s">
        <v>407</v>
      </c>
      <c r="E148" s="210" t="s">
        <v>415</v>
      </c>
      <c r="F148" s="205"/>
      <c r="G148" s="205"/>
      <c r="H148" s="206"/>
      <c r="I148" s="207"/>
      <c r="J148" s="208"/>
      <c r="K148" s="205"/>
      <c r="L148" s="205"/>
      <c r="M148" s="205"/>
      <c r="N148" s="205"/>
      <c r="O148" s="205"/>
      <c r="P148" s="205"/>
      <c r="Q148" s="205"/>
      <c r="R148" s="205"/>
      <c r="S148" s="205"/>
      <c r="T148" s="205"/>
      <c r="U148" s="205"/>
      <c r="V148" s="205"/>
      <c r="W148" s="491">
        <f t="shared" si="10"/>
        <v>0</v>
      </c>
      <c r="X148" s="205"/>
      <c r="Y148" s="205"/>
      <c r="Z148" s="205"/>
      <c r="AA148" s="205"/>
      <c r="AB148" s="205"/>
      <c r="AC148" s="205"/>
      <c r="AD148" s="205"/>
      <c r="AE148" s="205"/>
      <c r="AF148" s="205"/>
      <c r="AG148" s="205"/>
      <c r="AH148" s="205"/>
      <c r="AI148" s="205"/>
      <c r="AJ148" s="330"/>
    </row>
    <row r="149" spans="1:36" ht="140.25">
      <c r="A149" s="201" t="s">
        <v>680</v>
      </c>
      <c r="B149" s="203"/>
      <c r="C149" s="203"/>
      <c r="D149" s="196" t="s">
        <v>407</v>
      </c>
      <c r="E149" s="203" t="s">
        <v>416</v>
      </c>
      <c r="F149" s="205"/>
      <c r="G149" s="205"/>
      <c r="H149" s="206"/>
      <c r="I149" s="207"/>
      <c r="J149" s="208"/>
      <c r="K149" s="205"/>
      <c r="L149" s="489">
        <v>8333</v>
      </c>
      <c r="M149" s="490"/>
      <c r="N149" s="490"/>
      <c r="O149" s="490"/>
      <c r="P149" s="490"/>
      <c r="Q149" s="493">
        <f>SUM(L149:P149)</f>
        <v>8333</v>
      </c>
      <c r="R149" s="489">
        <v>8333</v>
      </c>
      <c r="S149" s="205"/>
      <c r="T149" s="205"/>
      <c r="U149" s="205"/>
      <c r="V149" s="205"/>
      <c r="W149" s="491">
        <f t="shared" si="10"/>
        <v>8333</v>
      </c>
      <c r="X149" s="489">
        <v>8333</v>
      </c>
      <c r="Y149" s="490"/>
      <c r="Z149" s="490"/>
      <c r="AA149" s="490"/>
      <c r="AB149" s="490"/>
      <c r="AC149" s="493">
        <f>SUM(X149:AB149)</f>
        <v>8333</v>
      </c>
      <c r="AD149" s="489">
        <v>8333</v>
      </c>
      <c r="AE149" s="490"/>
      <c r="AF149" s="490"/>
      <c r="AG149" s="490"/>
      <c r="AH149" s="490"/>
      <c r="AI149" s="491">
        <f>SUM(AD149:AH149)</f>
        <v>8333</v>
      </c>
      <c r="AJ149" s="330"/>
    </row>
    <row r="150" spans="1:36" ht="102">
      <c r="A150" s="201"/>
      <c r="B150" s="203"/>
      <c r="C150" s="203"/>
      <c r="D150" s="196" t="s">
        <v>407</v>
      </c>
      <c r="E150" s="203" t="s">
        <v>417</v>
      </c>
      <c r="F150" s="205"/>
      <c r="G150" s="205"/>
      <c r="H150" s="206"/>
      <c r="I150" s="207"/>
      <c r="J150" s="208"/>
      <c r="K150" s="205"/>
      <c r="L150" s="205"/>
      <c r="M150" s="205"/>
      <c r="N150" s="205"/>
      <c r="O150" s="205"/>
      <c r="P150" s="205"/>
      <c r="Q150" s="209"/>
      <c r="R150" s="205"/>
      <c r="S150" s="205"/>
      <c r="T150" s="205"/>
      <c r="U150" s="205"/>
      <c r="V150" s="205"/>
      <c r="W150" s="209"/>
      <c r="X150" s="205"/>
      <c r="Y150" s="205"/>
      <c r="Z150" s="205"/>
      <c r="AA150" s="205"/>
      <c r="AB150" s="205"/>
      <c r="AC150" s="209"/>
      <c r="AD150" s="205"/>
      <c r="AE150" s="205"/>
      <c r="AF150" s="205"/>
      <c r="AG150" s="205"/>
      <c r="AH150" s="205"/>
      <c r="AI150" s="209"/>
      <c r="AJ150" s="330"/>
    </row>
    <row r="151" spans="1:36" ht="63.75">
      <c r="A151" s="201"/>
      <c r="B151" s="203"/>
      <c r="C151" s="203"/>
      <c r="D151" s="196" t="s">
        <v>407</v>
      </c>
      <c r="E151" s="203" t="s">
        <v>418</v>
      </c>
      <c r="F151" s="205"/>
      <c r="G151" s="205"/>
      <c r="H151" s="206"/>
      <c r="I151" s="207"/>
      <c r="J151" s="208"/>
      <c r="K151" s="205"/>
      <c r="L151" s="205"/>
      <c r="M151" s="205"/>
      <c r="N151" s="205"/>
      <c r="O151" s="205"/>
      <c r="P151" s="205"/>
      <c r="Q151" s="209"/>
      <c r="R151" s="205"/>
      <c r="S151" s="205"/>
      <c r="T151" s="205"/>
      <c r="U151" s="205"/>
      <c r="V151" s="205"/>
      <c r="W151" s="209"/>
      <c r="X151" s="205"/>
      <c r="Y151" s="205"/>
      <c r="Z151" s="205"/>
      <c r="AA151" s="205"/>
      <c r="AB151" s="205"/>
      <c r="AC151" s="209"/>
      <c r="AD151" s="205"/>
      <c r="AE151" s="205"/>
      <c r="AF151" s="205"/>
      <c r="AG151" s="205"/>
      <c r="AH151" s="205"/>
      <c r="AI151" s="209"/>
      <c r="AJ151" s="330"/>
    </row>
    <row r="152" spans="1:36" ht="89.25">
      <c r="A152" s="207"/>
      <c r="B152" s="211"/>
      <c r="C152" s="199"/>
      <c r="D152" s="196" t="s">
        <v>407</v>
      </c>
      <c r="E152" s="203" t="s">
        <v>419</v>
      </c>
      <c r="F152" s="205"/>
      <c r="G152" s="205"/>
      <c r="H152" s="206"/>
      <c r="I152" s="207"/>
      <c r="J152" s="208"/>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330"/>
    </row>
    <row r="153" spans="1:36" ht="204">
      <c r="A153" s="201" t="s">
        <v>681</v>
      </c>
      <c r="B153" s="202"/>
      <c r="C153" s="199"/>
      <c r="D153" s="196" t="s">
        <v>407</v>
      </c>
      <c r="E153" s="210" t="s">
        <v>420</v>
      </c>
      <c r="F153" s="205"/>
      <c r="G153" s="205"/>
      <c r="H153" s="206"/>
      <c r="I153" s="207"/>
      <c r="J153" s="208"/>
      <c r="K153" s="205"/>
      <c r="L153" s="492">
        <v>6666</v>
      </c>
      <c r="M153" s="490"/>
      <c r="N153" s="490"/>
      <c r="O153" s="490"/>
      <c r="P153" s="490"/>
      <c r="Q153" s="493">
        <f>SUM(L153:P153)</f>
        <v>6666</v>
      </c>
      <c r="R153" s="492">
        <v>6666</v>
      </c>
      <c r="S153" s="490"/>
      <c r="T153" s="490"/>
      <c r="U153" s="490"/>
      <c r="V153" s="490"/>
      <c r="W153" s="493">
        <f>SUM(R153:V153)</f>
        <v>6666</v>
      </c>
      <c r="X153" s="492">
        <v>6666</v>
      </c>
      <c r="Y153" s="490"/>
      <c r="Z153" s="490"/>
      <c r="AA153" s="490"/>
      <c r="AB153" s="490"/>
      <c r="AC153" s="493">
        <f>SUM(X153:AB153)</f>
        <v>6666</v>
      </c>
      <c r="AD153" s="492">
        <v>6666</v>
      </c>
      <c r="AE153" s="490"/>
      <c r="AF153" s="490"/>
      <c r="AG153" s="490"/>
      <c r="AH153" s="490"/>
      <c r="AI153" s="491">
        <f>SUM(AD153:AH153)</f>
        <v>6666</v>
      </c>
      <c r="AJ153" s="330"/>
    </row>
    <row r="154" spans="1:36" ht="51">
      <c r="A154" s="201"/>
      <c r="B154" s="212"/>
      <c r="C154" s="199"/>
      <c r="D154" s="196" t="s">
        <v>407</v>
      </c>
      <c r="E154" s="210" t="s">
        <v>421</v>
      </c>
      <c r="F154" s="205"/>
      <c r="G154" s="205"/>
      <c r="H154" s="206"/>
      <c r="I154" s="207"/>
      <c r="J154" s="208"/>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330"/>
    </row>
    <row r="155" spans="1:36" ht="63.75">
      <c r="A155" s="201"/>
      <c r="B155" s="212"/>
      <c r="C155" s="203"/>
      <c r="D155" s="196" t="s">
        <v>407</v>
      </c>
      <c r="E155" s="210" t="s">
        <v>422</v>
      </c>
      <c r="F155" s="205"/>
      <c r="G155" s="205"/>
      <c r="H155" s="206"/>
      <c r="I155" s="207"/>
      <c r="J155" s="208"/>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330"/>
    </row>
    <row r="156" spans="1:36" ht="76.5">
      <c r="A156" s="201"/>
      <c r="B156" s="212"/>
      <c r="C156" s="199"/>
      <c r="D156" s="196" t="s">
        <v>407</v>
      </c>
      <c r="E156" s="210" t="s">
        <v>423</v>
      </c>
      <c r="F156" s="205"/>
      <c r="G156" s="205"/>
      <c r="H156" s="206"/>
      <c r="I156" s="207"/>
      <c r="J156" s="208"/>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330"/>
    </row>
    <row r="157" spans="1:36" ht="178.5">
      <c r="A157" s="213" t="s">
        <v>682</v>
      </c>
      <c r="B157" s="202"/>
      <c r="C157" s="199"/>
      <c r="D157" s="196" t="s">
        <v>407</v>
      </c>
      <c r="E157" s="210" t="s">
        <v>424</v>
      </c>
      <c r="F157" s="205"/>
      <c r="G157" s="205"/>
      <c r="H157" s="206"/>
      <c r="I157" s="207"/>
      <c r="J157" s="208"/>
      <c r="K157" s="205"/>
      <c r="L157" s="494">
        <v>16666</v>
      </c>
      <c r="M157" s="490"/>
      <c r="N157" s="490"/>
      <c r="O157" s="490"/>
      <c r="P157" s="490"/>
      <c r="Q157" s="493">
        <f>SUM(L157:P157)</f>
        <v>16666</v>
      </c>
      <c r="R157" s="494">
        <v>16666</v>
      </c>
      <c r="S157" s="490"/>
      <c r="T157" s="490"/>
      <c r="U157" s="490"/>
      <c r="V157" s="490"/>
      <c r="W157" s="493">
        <f>SUM(R157:V157)</f>
        <v>16666</v>
      </c>
      <c r="X157" s="494">
        <v>16666</v>
      </c>
      <c r="Y157" s="490"/>
      <c r="Z157" s="490"/>
      <c r="AA157" s="490"/>
      <c r="AB157" s="490"/>
      <c r="AC157" s="493">
        <f>SUM(X157:AB157)</f>
        <v>16666</v>
      </c>
      <c r="AD157" s="494">
        <v>16666</v>
      </c>
      <c r="AE157" s="490"/>
      <c r="AF157" s="490"/>
      <c r="AG157" s="490"/>
      <c r="AH157" s="490"/>
      <c r="AI157" s="491">
        <f>SUM(AD157:AH157)</f>
        <v>16666</v>
      </c>
      <c r="AJ157" s="330"/>
    </row>
    <row r="158" spans="1:36" ht="102">
      <c r="A158" s="207"/>
      <c r="B158" s="210"/>
      <c r="C158" s="202"/>
      <c r="D158" s="196" t="s">
        <v>407</v>
      </c>
      <c r="E158" s="210" t="s">
        <v>425</v>
      </c>
      <c r="F158" s="205"/>
      <c r="G158" s="205"/>
      <c r="H158" s="206"/>
      <c r="I158" s="207"/>
      <c r="J158" s="208"/>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330"/>
    </row>
    <row r="159" spans="1:36" ht="229.5">
      <c r="A159" s="207"/>
      <c r="B159" s="210"/>
      <c r="C159" s="210"/>
      <c r="D159" s="196" t="s">
        <v>407</v>
      </c>
      <c r="E159" s="210" t="s">
        <v>426</v>
      </c>
      <c r="F159" s="205"/>
      <c r="G159" s="205"/>
      <c r="H159" s="206"/>
      <c r="I159" s="207"/>
      <c r="J159" s="208"/>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330"/>
    </row>
    <row r="160" spans="1:36" ht="89.25">
      <c r="A160" s="201" t="s">
        <v>683</v>
      </c>
      <c r="B160" s="210"/>
      <c r="C160" s="199"/>
      <c r="D160" s="196" t="s">
        <v>407</v>
      </c>
      <c r="E160" s="210" t="s">
        <v>427</v>
      </c>
      <c r="F160" s="205"/>
      <c r="G160" s="205"/>
      <c r="H160" s="206"/>
      <c r="I160" s="207"/>
      <c r="J160" s="208"/>
      <c r="K160" s="205"/>
      <c r="L160" s="494">
        <v>17500</v>
      </c>
      <c r="M160" s="490"/>
      <c r="N160" s="490"/>
      <c r="O160" s="490"/>
      <c r="P160" s="490"/>
      <c r="Q160" s="493">
        <f>SUM(L160:P160)</f>
        <v>17500</v>
      </c>
      <c r="R160" s="494">
        <v>17500</v>
      </c>
      <c r="S160" s="490"/>
      <c r="T160" s="490"/>
      <c r="U160" s="490"/>
      <c r="V160" s="490"/>
      <c r="W160" s="493">
        <f>SUM(R160:V160)</f>
        <v>17500</v>
      </c>
      <c r="X160" s="494">
        <v>17500</v>
      </c>
      <c r="Y160" s="490"/>
      <c r="Z160" s="490"/>
      <c r="AA160" s="490"/>
      <c r="AB160" s="490"/>
      <c r="AC160" s="493">
        <f>SUM(X160:AB160)</f>
        <v>17500</v>
      </c>
      <c r="AD160" s="494">
        <v>17500</v>
      </c>
      <c r="AE160" s="490"/>
      <c r="AF160" s="490"/>
      <c r="AG160" s="490"/>
      <c r="AH160" s="490"/>
      <c r="AI160" s="491">
        <f>SUM(AD160:AH160)</f>
        <v>17500</v>
      </c>
      <c r="AJ160" s="330"/>
    </row>
    <row r="161" spans="1:36" ht="63.75">
      <c r="A161" s="207"/>
      <c r="B161" s="210"/>
      <c r="C161" s="199"/>
      <c r="D161" s="196" t="s">
        <v>407</v>
      </c>
      <c r="E161" s="210" t="s">
        <v>428</v>
      </c>
      <c r="F161" s="205"/>
      <c r="G161" s="205"/>
      <c r="H161" s="206"/>
      <c r="I161" s="207"/>
      <c r="J161" s="208"/>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330"/>
    </row>
    <row r="162" spans="1:36" ht="216.75">
      <c r="A162" s="207"/>
      <c r="B162" s="210"/>
      <c r="C162" s="199"/>
      <c r="D162" s="196" t="s">
        <v>407</v>
      </c>
      <c r="E162" s="210" t="s">
        <v>429</v>
      </c>
      <c r="F162" s="205"/>
      <c r="G162" s="205"/>
      <c r="H162" s="206"/>
      <c r="I162" s="207"/>
      <c r="J162" s="208"/>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330"/>
    </row>
    <row r="163" spans="1:36" ht="140.25">
      <c r="A163" s="207"/>
      <c r="B163" s="210"/>
      <c r="C163" s="199"/>
      <c r="D163" s="196" t="s">
        <v>407</v>
      </c>
      <c r="E163" s="210" t="s">
        <v>430</v>
      </c>
      <c r="F163" s="205"/>
      <c r="G163" s="205"/>
      <c r="H163" s="206"/>
      <c r="I163" s="207"/>
      <c r="J163" s="208"/>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330"/>
    </row>
    <row r="164" spans="1:36" ht="102">
      <c r="A164" s="207"/>
      <c r="B164" s="210"/>
      <c r="C164" s="199"/>
      <c r="D164" s="196" t="s">
        <v>407</v>
      </c>
      <c r="E164" s="210" t="s">
        <v>431</v>
      </c>
      <c r="F164" s="205"/>
      <c r="G164" s="205"/>
      <c r="H164" s="206"/>
      <c r="I164" s="207"/>
      <c r="J164" s="208"/>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330"/>
    </row>
    <row r="165" spans="1:36" ht="127.5">
      <c r="A165" s="207"/>
      <c r="B165" s="210"/>
      <c r="C165" s="199"/>
      <c r="D165" s="196" t="s">
        <v>407</v>
      </c>
      <c r="E165" s="210" t="s">
        <v>432</v>
      </c>
      <c r="F165" s="205"/>
      <c r="G165" s="205"/>
      <c r="H165" s="206"/>
      <c r="I165" s="207"/>
      <c r="J165" s="208"/>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330"/>
    </row>
    <row r="166" spans="1:36" ht="38.25">
      <c r="A166" s="207"/>
      <c r="B166" s="210"/>
      <c r="C166" s="202"/>
      <c r="D166" s="196" t="s">
        <v>407</v>
      </c>
      <c r="E166" s="210" t="s">
        <v>433</v>
      </c>
      <c r="F166" s="205"/>
      <c r="G166" s="205"/>
      <c r="H166" s="206"/>
      <c r="I166" s="207"/>
      <c r="J166" s="208"/>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330"/>
    </row>
    <row r="167" spans="1:36" ht="76.5">
      <c r="A167" s="207"/>
      <c r="B167" s="210"/>
      <c r="C167" s="210"/>
      <c r="D167" s="196" t="s">
        <v>407</v>
      </c>
      <c r="E167" s="214" t="s">
        <v>434</v>
      </c>
      <c r="F167" s="205"/>
      <c r="G167" s="205"/>
      <c r="H167" s="206"/>
      <c r="I167" s="207"/>
      <c r="J167" s="208"/>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330"/>
    </row>
    <row r="168" spans="1:36" ht="140.25">
      <c r="A168" s="213" t="s">
        <v>684</v>
      </c>
      <c r="B168" s="199"/>
      <c r="C168" s="199"/>
      <c r="D168" s="196" t="s">
        <v>407</v>
      </c>
      <c r="E168" s="210" t="s">
        <v>435</v>
      </c>
      <c r="F168" s="205"/>
      <c r="G168" s="205"/>
      <c r="H168" s="206"/>
      <c r="I168" s="207"/>
      <c r="J168" s="208"/>
      <c r="K168" s="205"/>
      <c r="L168" s="494">
        <v>83333</v>
      </c>
      <c r="M168" s="490"/>
      <c r="N168" s="490"/>
      <c r="O168" s="490"/>
      <c r="P168" s="490"/>
      <c r="Q168" s="493">
        <f>SUM(L168:P168)</f>
        <v>83333</v>
      </c>
      <c r="R168" s="494">
        <v>83333</v>
      </c>
      <c r="S168" s="490"/>
      <c r="T168" s="490"/>
      <c r="U168" s="490"/>
      <c r="V168" s="490"/>
      <c r="W168" s="493">
        <f>SUM(R168:V168)</f>
        <v>83333</v>
      </c>
      <c r="X168" s="494">
        <v>83333</v>
      </c>
      <c r="Y168" s="490"/>
      <c r="Z168" s="490"/>
      <c r="AA168" s="490"/>
      <c r="AB168" s="490"/>
      <c r="AC168" s="493">
        <f>SUM(X168:AB168)</f>
        <v>83333</v>
      </c>
      <c r="AD168" s="494">
        <v>83333</v>
      </c>
      <c r="AE168" s="490"/>
      <c r="AF168" s="490"/>
      <c r="AG168" s="490"/>
      <c r="AH168" s="490"/>
      <c r="AI168" s="491">
        <f>SUM(AD168:AH168)</f>
        <v>83333</v>
      </c>
      <c r="AJ168" s="330"/>
    </row>
    <row r="169" spans="1:36" ht="216.75">
      <c r="A169" s="207"/>
      <c r="B169" s="215"/>
      <c r="C169" s="202"/>
      <c r="D169" s="196" t="s">
        <v>407</v>
      </c>
      <c r="E169" s="210" t="s">
        <v>436</v>
      </c>
      <c r="F169" s="205"/>
      <c r="G169" s="205"/>
      <c r="H169" s="206"/>
      <c r="I169" s="207"/>
      <c r="J169" s="208"/>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330"/>
    </row>
    <row r="170" spans="1:36" ht="165.75">
      <c r="A170" s="207"/>
      <c r="B170" s="210"/>
      <c r="C170" s="210"/>
      <c r="D170" s="196" t="s">
        <v>407</v>
      </c>
      <c r="E170" s="210" t="s">
        <v>437</v>
      </c>
      <c r="F170" s="205"/>
      <c r="G170" s="205"/>
      <c r="H170" s="206"/>
      <c r="I170" s="207"/>
      <c r="J170" s="208"/>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330"/>
    </row>
    <row r="171" spans="1:36" ht="140.25">
      <c r="A171" s="207"/>
      <c r="B171" s="202"/>
      <c r="C171" s="199"/>
      <c r="D171" s="196" t="s">
        <v>407</v>
      </c>
      <c r="E171" s="210" t="s">
        <v>438</v>
      </c>
      <c r="F171" s="205"/>
      <c r="G171" s="205"/>
      <c r="H171" s="206"/>
      <c r="I171" s="207"/>
      <c r="J171" s="208"/>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330"/>
    </row>
    <row r="172" spans="1:36" ht="89.25">
      <c r="A172" s="207"/>
      <c r="B172" s="212"/>
      <c r="C172" s="199"/>
      <c r="D172" s="196" t="s">
        <v>407</v>
      </c>
      <c r="E172" s="210" t="s">
        <v>439</v>
      </c>
      <c r="F172" s="205"/>
      <c r="G172" s="205"/>
      <c r="H172" s="206"/>
      <c r="I172" s="207"/>
      <c r="J172" s="208"/>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330"/>
    </row>
    <row r="173" spans="1:36" ht="204">
      <c r="A173" s="207"/>
      <c r="B173" s="212"/>
      <c r="C173" s="199"/>
      <c r="D173" s="196" t="s">
        <v>407</v>
      </c>
      <c r="E173" s="210" t="s">
        <v>440</v>
      </c>
      <c r="F173" s="205"/>
      <c r="G173" s="205"/>
      <c r="H173" s="206"/>
      <c r="I173" s="207"/>
      <c r="J173" s="208"/>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330"/>
    </row>
    <row r="174" spans="1:36" ht="76.5">
      <c r="A174" s="207"/>
      <c r="B174" s="210"/>
      <c r="C174" s="210"/>
      <c r="D174" s="196" t="s">
        <v>407</v>
      </c>
      <c r="E174" s="210" t="s">
        <v>441</v>
      </c>
      <c r="F174" s="205"/>
      <c r="G174" s="205"/>
      <c r="H174" s="206"/>
      <c r="I174" s="207"/>
      <c r="J174" s="208"/>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330"/>
    </row>
    <row r="175" spans="1:36" ht="89.25">
      <c r="A175" s="201" t="s">
        <v>685</v>
      </c>
      <c r="B175" s="199"/>
      <c r="C175" s="199"/>
      <c r="D175" s="196" t="s">
        <v>407</v>
      </c>
      <c r="E175" s="210" t="s">
        <v>442</v>
      </c>
      <c r="F175" s="205"/>
      <c r="G175" s="205"/>
      <c r="H175" s="206"/>
      <c r="I175" s="207"/>
      <c r="J175" s="208"/>
      <c r="K175" s="205"/>
      <c r="L175" s="492">
        <v>6666</v>
      </c>
      <c r="M175" s="490"/>
      <c r="N175" s="490"/>
      <c r="O175" s="490"/>
      <c r="P175" s="490"/>
      <c r="Q175" s="493">
        <f>SUM(L175:P175)</f>
        <v>6666</v>
      </c>
      <c r="R175" s="492">
        <v>6666</v>
      </c>
      <c r="S175" s="490"/>
      <c r="T175" s="490"/>
      <c r="U175" s="490"/>
      <c r="V175" s="490"/>
      <c r="W175" s="493">
        <f>SUM(R175:V175)</f>
        <v>6666</v>
      </c>
      <c r="X175" s="492">
        <v>6666</v>
      </c>
      <c r="Y175" s="490"/>
      <c r="Z175" s="490"/>
      <c r="AA175" s="490"/>
      <c r="AB175" s="490"/>
      <c r="AC175" s="493">
        <f>SUM(X175:AB175)</f>
        <v>6666</v>
      </c>
      <c r="AD175" s="492">
        <v>6666</v>
      </c>
      <c r="AE175" s="490"/>
      <c r="AF175" s="490"/>
      <c r="AG175" s="490"/>
      <c r="AH175" s="490"/>
      <c r="AI175" s="491">
        <f>SUM(AD175:AH175)</f>
        <v>6666</v>
      </c>
      <c r="AJ175" s="330"/>
    </row>
    <row r="176" spans="1:36" ht="89.25">
      <c r="A176" s="201"/>
      <c r="B176" s="203"/>
      <c r="C176" s="199"/>
      <c r="D176" s="196" t="s">
        <v>407</v>
      </c>
      <c r="E176" s="210" t="s">
        <v>443</v>
      </c>
      <c r="F176" s="205"/>
      <c r="G176" s="205"/>
      <c r="H176" s="206"/>
      <c r="I176" s="207"/>
      <c r="J176" s="208"/>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330"/>
    </row>
    <row r="177" spans="1:36" ht="255">
      <c r="A177" s="207"/>
      <c r="B177" s="200"/>
      <c r="C177" s="199"/>
      <c r="D177" s="196" t="s">
        <v>407</v>
      </c>
      <c r="E177" s="210" t="s">
        <v>569</v>
      </c>
      <c r="F177" s="205"/>
      <c r="G177" s="205"/>
      <c r="H177" s="206"/>
      <c r="I177" s="207"/>
      <c r="J177" s="208"/>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330"/>
    </row>
    <row r="178" spans="1:36" ht="153">
      <c r="A178" s="207"/>
      <c r="B178" s="216"/>
      <c r="C178" s="210"/>
      <c r="D178" s="196" t="s">
        <v>407</v>
      </c>
      <c r="E178" s="210" t="s">
        <v>444</v>
      </c>
      <c r="F178" s="205"/>
      <c r="G178" s="205"/>
      <c r="H178" s="206"/>
      <c r="I178" s="207"/>
      <c r="J178" s="208"/>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330"/>
    </row>
    <row r="179" spans="1:36" ht="102">
      <c r="A179" s="201" t="s">
        <v>686</v>
      </c>
      <c r="B179" s="202"/>
      <c r="C179" s="199"/>
      <c r="D179" s="196" t="s">
        <v>407</v>
      </c>
      <c r="E179" s="210" t="s">
        <v>445</v>
      </c>
      <c r="F179" s="205"/>
      <c r="G179" s="205"/>
      <c r="H179" s="206"/>
      <c r="I179" s="207"/>
      <c r="J179" s="208"/>
      <c r="K179" s="205"/>
      <c r="L179" s="492">
        <v>6666</v>
      </c>
      <c r="M179" s="490"/>
      <c r="N179" s="490"/>
      <c r="O179" s="490"/>
      <c r="P179" s="490"/>
      <c r="Q179" s="493">
        <f>SUM(L179:P179)</f>
        <v>6666</v>
      </c>
      <c r="R179" s="492">
        <v>6666</v>
      </c>
      <c r="S179" s="490"/>
      <c r="T179" s="490"/>
      <c r="U179" s="490"/>
      <c r="V179" s="490"/>
      <c r="W179" s="493">
        <f>SUM(R179:V179)</f>
        <v>6666</v>
      </c>
      <c r="X179" s="492">
        <v>6666</v>
      </c>
      <c r="Y179" s="490"/>
      <c r="Z179" s="490"/>
      <c r="AA179" s="490"/>
      <c r="AB179" s="490"/>
      <c r="AC179" s="493">
        <f>SUM(X179:AB179)</f>
        <v>6666</v>
      </c>
      <c r="AD179" s="492">
        <v>6666</v>
      </c>
      <c r="AE179" s="490"/>
      <c r="AF179" s="490"/>
      <c r="AG179" s="490"/>
      <c r="AH179" s="490"/>
      <c r="AI179" s="491">
        <f>SUM(AD179:AH179)</f>
        <v>6666</v>
      </c>
      <c r="AJ179" s="330"/>
    </row>
    <row r="180" spans="1:36" ht="140.25">
      <c r="A180" s="207"/>
      <c r="B180" s="212"/>
      <c r="C180" s="199"/>
      <c r="D180" s="196" t="s">
        <v>407</v>
      </c>
      <c r="E180" s="210" t="s">
        <v>446</v>
      </c>
      <c r="F180" s="205"/>
      <c r="G180" s="205"/>
      <c r="H180" s="206"/>
      <c r="I180" s="207"/>
      <c r="J180" s="208"/>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330"/>
    </row>
    <row r="181" spans="1:36" ht="229.5">
      <c r="A181" s="217"/>
      <c r="B181" s="218"/>
      <c r="C181" s="199"/>
      <c r="D181" s="196" t="s">
        <v>407</v>
      </c>
      <c r="E181" s="210" t="s">
        <v>447</v>
      </c>
      <c r="F181" s="205"/>
      <c r="G181" s="205"/>
      <c r="H181" s="206"/>
      <c r="I181" s="207"/>
      <c r="J181" s="208"/>
      <c r="K181" s="205"/>
      <c r="L181" s="205"/>
      <c r="M181" s="205"/>
      <c r="N181" s="205"/>
      <c r="O181" s="205"/>
      <c r="P181" s="205"/>
      <c r="Q181" s="205"/>
      <c r="R181" s="205"/>
      <c r="S181" s="205"/>
      <c r="T181" s="205"/>
      <c r="U181" s="205"/>
      <c r="V181" s="205"/>
      <c r="W181" s="491">
        <f>SUM(R181:V181)</f>
        <v>0</v>
      </c>
      <c r="X181" s="205"/>
      <c r="Y181" s="205"/>
      <c r="Z181" s="205"/>
      <c r="AA181" s="205"/>
      <c r="AB181" s="205"/>
      <c r="AC181" s="205"/>
      <c r="AD181" s="205"/>
      <c r="AE181" s="205"/>
      <c r="AF181" s="205"/>
      <c r="AG181" s="205"/>
      <c r="AH181" s="205"/>
      <c r="AI181" s="205"/>
      <c r="AJ181" s="330"/>
    </row>
    <row r="182" spans="1:36" s="958" customFormat="1" ht="140.25">
      <c r="A182" s="944"/>
      <c r="B182" s="945"/>
      <c r="C182" s="945"/>
      <c r="D182" s="946" t="s">
        <v>407</v>
      </c>
      <c r="E182" s="947" t="s">
        <v>448</v>
      </c>
      <c r="F182" s="948"/>
      <c r="G182" s="948"/>
      <c r="H182" s="949"/>
      <c r="I182" s="950"/>
      <c r="J182" s="951"/>
      <c r="K182" s="948"/>
      <c r="L182" s="952">
        <v>389166</v>
      </c>
      <c r="M182" s="948"/>
      <c r="N182" s="948"/>
      <c r="O182" s="948"/>
      <c r="P182" s="948"/>
      <c r="Q182" s="953">
        <f>SUM(L182:P182)</f>
        <v>389166</v>
      </c>
      <c r="R182" s="954">
        <v>389166</v>
      </c>
      <c r="S182" s="955"/>
      <c r="T182" s="955"/>
      <c r="U182" s="955"/>
      <c r="V182" s="955"/>
      <c r="W182" s="953">
        <f>SUM(R182:V182)</f>
        <v>389166</v>
      </c>
      <c r="X182" s="952">
        <v>389166</v>
      </c>
      <c r="Y182" s="948"/>
      <c r="Z182" s="948"/>
      <c r="AA182" s="948"/>
      <c r="AB182" s="948"/>
      <c r="AC182" s="953">
        <f>SUM(X182:AB182)</f>
        <v>389166</v>
      </c>
      <c r="AD182" s="952">
        <v>389166</v>
      </c>
      <c r="AE182" s="948"/>
      <c r="AF182" s="948"/>
      <c r="AG182" s="948"/>
      <c r="AH182" s="948"/>
      <c r="AI182" s="956">
        <f>SUM(AD182:AH182)</f>
        <v>389166</v>
      </c>
      <c r="AJ182" s="957"/>
    </row>
    <row r="183" spans="1:36" ht="93" customHeight="1">
      <c r="A183" s="213" t="s">
        <v>687</v>
      </c>
      <c r="B183" s="202"/>
      <c r="C183" s="199"/>
      <c r="D183" s="196" t="s">
        <v>407</v>
      </c>
      <c r="E183" s="210" t="s">
        <v>449</v>
      </c>
      <c r="F183" s="220"/>
      <c r="G183" s="220"/>
      <c r="H183" s="221"/>
      <c r="I183" s="217"/>
      <c r="J183" s="222"/>
      <c r="K183" s="220"/>
      <c r="L183" s="220"/>
      <c r="M183" s="220"/>
      <c r="N183" s="220"/>
      <c r="O183" s="220"/>
      <c r="P183" s="220"/>
      <c r="Q183" s="220"/>
      <c r="R183" s="220"/>
      <c r="S183" s="220"/>
      <c r="T183" s="220"/>
      <c r="U183" s="220"/>
      <c r="V183" s="220"/>
      <c r="W183" s="220"/>
      <c r="X183" s="220"/>
      <c r="Y183" s="220"/>
      <c r="Z183" s="220"/>
      <c r="AA183" s="220"/>
      <c r="AB183" s="220"/>
      <c r="AC183" s="220"/>
      <c r="AD183" s="205"/>
      <c r="AE183" s="205"/>
      <c r="AF183" s="205"/>
      <c r="AG183" s="205"/>
      <c r="AH183" s="205"/>
      <c r="AI183" s="205"/>
      <c r="AJ183" s="330"/>
    </row>
    <row r="184" spans="1:36" ht="60" customHeight="1">
      <c r="A184" s="223"/>
      <c r="B184" s="224"/>
      <c r="C184" s="225"/>
      <c r="D184" s="196" t="s">
        <v>407</v>
      </c>
      <c r="E184" s="210" t="s">
        <v>450</v>
      </c>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330"/>
    </row>
    <row r="185" spans="1:36" ht="153.75" customHeight="1" thickBot="1">
      <c r="A185" s="226"/>
      <c r="B185" s="197"/>
      <c r="C185" s="197"/>
      <c r="D185" s="196" t="s">
        <v>407</v>
      </c>
      <c r="E185" s="227" t="s">
        <v>451</v>
      </c>
      <c r="F185" s="197"/>
      <c r="G185" s="197"/>
      <c r="H185" s="197"/>
      <c r="I185" s="197"/>
      <c r="J185" s="197"/>
      <c r="K185" s="197"/>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330"/>
    </row>
    <row r="186" spans="1:36">
      <c r="A186" s="26" t="s">
        <v>276</v>
      </c>
      <c r="B186" s="26"/>
      <c r="C186" s="26"/>
      <c r="D186" s="168"/>
      <c r="E186" s="168"/>
      <c r="F186" s="168"/>
      <c r="G186" s="169"/>
      <c r="H186" s="169"/>
      <c r="I186" s="169"/>
      <c r="J186" s="169"/>
      <c r="K186" s="172"/>
      <c r="L186" s="102"/>
      <c r="M186" s="102"/>
      <c r="N186" s="102"/>
      <c r="O186" s="102"/>
      <c r="P186" s="102"/>
      <c r="Q186" s="366">
        <v>583295</v>
      </c>
      <c r="R186" s="102"/>
      <c r="S186" s="102"/>
      <c r="T186" s="102"/>
      <c r="U186" s="102"/>
      <c r="V186" s="102"/>
      <c r="W186" s="366">
        <v>583295</v>
      </c>
      <c r="X186" s="102"/>
      <c r="Y186" s="102"/>
      <c r="Z186" s="102"/>
      <c r="AA186" s="102"/>
      <c r="AB186" s="102"/>
      <c r="AC186" s="366">
        <v>583295</v>
      </c>
      <c r="AD186" s="102"/>
      <c r="AE186" s="102"/>
      <c r="AF186" s="102"/>
      <c r="AG186" s="102"/>
      <c r="AH186" s="102"/>
      <c r="AI186" s="373">
        <v>583295</v>
      </c>
      <c r="AJ186" s="337">
        <v>2333180</v>
      </c>
    </row>
    <row r="187" spans="1:36">
      <c r="A187" s="103"/>
      <c r="B187" s="103"/>
      <c r="C187" s="103"/>
      <c r="D187" s="415"/>
      <c r="E187" s="415"/>
      <c r="F187" s="415"/>
      <c r="G187" s="416"/>
      <c r="H187" s="416"/>
      <c r="I187" s="416"/>
      <c r="J187" s="416"/>
      <c r="K187" s="295"/>
      <c r="L187" s="423">
        <f>SUM(L141:L185)</f>
        <v>583328</v>
      </c>
      <c r="M187" s="423">
        <f t="shared" ref="M187:AI187" si="11">SUM(M141:M185)</f>
        <v>0</v>
      </c>
      <c r="N187" s="423">
        <f t="shared" si="11"/>
        <v>0</v>
      </c>
      <c r="O187" s="423">
        <f t="shared" si="11"/>
        <v>0</v>
      </c>
      <c r="P187" s="423">
        <f t="shared" si="11"/>
        <v>0</v>
      </c>
      <c r="Q187" s="423">
        <f>SUM(Q141:Q185)</f>
        <v>583328</v>
      </c>
      <c r="R187" s="423">
        <f>SUM(R141:R185)</f>
        <v>583328</v>
      </c>
      <c r="S187" s="423">
        <f t="shared" si="11"/>
        <v>0</v>
      </c>
      <c r="T187" s="423">
        <f t="shared" si="11"/>
        <v>0</v>
      </c>
      <c r="U187" s="423">
        <f t="shared" si="11"/>
        <v>0</v>
      </c>
      <c r="V187" s="423">
        <f t="shared" si="11"/>
        <v>0</v>
      </c>
      <c r="W187" s="423">
        <f t="shared" si="11"/>
        <v>583328</v>
      </c>
      <c r="X187" s="423">
        <f>SUM(X141:X185)</f>
        <v>583328</v>
      </c>
      <c r="Y187" s="423">
        <f t="shared" si="11"/>
        <v>0</v>
      </c>
      <c r="Z187" s="423">
        <f t="shared" si="11"/>
        <v>0</v>
      </c>
      <c r="AA187" s="423">
        <f t="shared" si="11"/>
        <v>0</v>
      </c>
      <c r="AB187" s="423">
        <f t="shared" si="11"/>
        <v>0</v>
      </c>
      <c r="AC187" s="423">
        <f t="shared" si="11"/>
        <v>583328</v>
      </c>
      <c r="AD187" s="423">
        <f>SUM(AD141:AD185)</f>
        <v>583328</v>
      </c>
      <c r="AE187" s="423">
        <f t="shared" si="11"/>
        <v>0</v>
      </c>
      <c r="AF187" s="423">
        <f t="shared" si="11"/>
        <v>0</v>
      </c>
      <c r="AG187" s="423">
        <f t="shared" si="11"/>
        <v>0</v>
      </c>
      <c r="AH187" s="423">
        <f t="shared" si="11"/>
        <v>0</v>
      </c>
      <c r="AI187" s="423">
        <f t="shared" si="11"/>
        <v>583328</v>
      </c>
      <c r="AJ187" s="424">
        <f>SUM(AI187+AC187+W187+Q187)</f>
        <v>2333312</v>
      </c>
    </row>
    <row r="188" spans="1:36">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row>
    <row r="189" spans="1:36">
      <c r="A189" s="138" t="s">
        <v>399</v>
      </c>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row>
    <row r="190" spans="1:36">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row>
    <row r="191" spans="1:36">
      <c r="A191" s="868"/>
      <c r="B191" s="856"/>
      <c r="C191" s="856"/>
      <c r="D191" s="1100" t="s">
        <v>0</v>
      </c>
      <c r="E191" s="1100" t="s">
        <v>340</v>
      </c>
      <c r="F191" s="1107" t="s">
        <v>5</v>
      </c>
      <c r="G191" s="1107"/>
      <c r="H191" s="1100" t="s">
        <v>22</v>
      </c>
      <c r="I191" s="1100" t="s">
        <v>211</v>
      </c>
      <c r="J191" s="1100" t="s">
        <v>212</v>
      </c>
      <c r="K191" s="1100" t="s">
        <v>213</v>
      </c>
      <c r="L191" s="1072" t="s">
        <v>214</v>
      </c>
      <c r="M191" s="1072"/>
      <c r="N191" s="1072"/>
      <c r="O191" s="1072"/>
      <c r="P191" s="1072"/>
      <c r="Q191" s="1072"/>
      <c r="R191" s="1072"/>
      <c r="S191" s="1072"/>
      <c r="T191" s="1072"/>
      <c r="U191" s="1072"/>
      <c r="V191" s="1072"/>
      <c r="W191" s="1072"/>
      <c r="X191" s="1072"/>
      <c r="Y191" s="1072"/>
      <c r="Z191" s="1072"/>
      <c r="AA191" s="1072"/>
      <c r="AB191" s="1072"/>
      <c r="AC191" s="1072"/>
      <c r="AD191" s="1072"/>
      <c r="AE191" s="1072"/>
      <c r="AF191" s="1072"/>
      <c r="AG191" s="1072"/>
      <c r="AH191" s="1072"/>
      <c r="AI191" s="344"/>
      <c r="AJ191" s="331"/>
    </row>
    <row r="192" spans="1:36" ht="38.25">
      <c r="A192" s="1103" t="s">
        <v>341</v>
      </c>
      <c r="B192" s="856" t="s">
        <v>215</v>
      </c>
      <c r="C192" s="856" t="s">
        <v>279</v>
      </c>
      <c r="D192" s="1100"/>
      <c r="E192" s="1106"/>
      <c r="F192" s="1105" t="s">
        <v>217</v>
      </c>
      <c r="G192" s="1105" t="s">
        <v>6</v>
      </c>
      <c r="H192" s="1100"/>
      <c r="I192" s="1100"/>
      <c r="J192" s="1100"/>
      <c r="K192" s="1100"/>
      <c r="L192" s="1071" t="s">
        <v>12</v>
      </c>
      <c r="M192" s="1072"/>
      <c r="N192" s="1072"/>
      <c r="O192" s="1072"/>
      <c r="P192" s="1072"/>
      <c r="Q192" s="1072"/>
      <c r="R192" s="1071" t="s">
        <v>13</v>
      </c>
      <c r="S192" s="1072"/>
      <c r="T192" s="1072"/>
      <c r="U192" s="1072"/>
      <c r="V192" s="1072"/>
      <c r="W192" s="1072"/>
      <c r="X192" s="1071" t="s">
        <v>14</v>
      </c>
      <c r="Y192" s="1072"/>
      <c r="Z192" s="1072"/>
      <c r="AA192" s="1072"/>
      <c r="AB192" s="1072"/>
      <c r="AC192" s="1072"/>
      <c r="AD192" s="1071" t="s">
        <v>15</v>
      </c>
      <c r="AE192" s="1072"/>
      <c r="AF192" s="1072"/>
      <c r="AG192" s="1072"/>
      <c r="AH192" s="1072"/>
      <c r="AI192" s="345"/>
      <c r="AJ192" s="330"/>
    </row>
    <row r="193" spans="1:36" ht="30">
      <c r="A193" s="1104"/>
      <c r="B193" s="856"/>
      <c r="C193" s="856"/>
      <c r="D193" s="1100"/>
      <c r="E193" s="1106"/>
      <c r="F193" s="1105"/>
      <c r="G193" s="1105"/>
      <c r="H193" s="1100"/>
      <c r="I193" s="1100"/>
      <c r="J193" s="1100"/>
      <c r="K193" s="1100"/>
      <c r="L193" s="855" t="s">
        <v>1</v>
      </c>
      <c r="M193" s="855" t="s">
        <v>9</v>
      </c>
      <c r="N193" s="855" t="s">
        <v>218</v>
      </c>
      <c r="O193" s="140" t="s">
        <v>17</v>
      </c>
      <c r="P193" s="140" t="s">
        <v>19</v>
      </c>
      <c r="Q193" s="140" t="s">
        <v>4</v>
      </c>
      <c r="R193" s="855" t="s">
        <v>1</v>
      </c>
      <c r="S193" s="855" t="s">
        <v>2</v>
      </c>
      <c r="T193" s="855" t="s">
        <v>219</v>
      </c>
      <c r="U193" s="855" t="s">
        <v>17</v>
      </c>
      <c r="V193" s="855" t="s">
        <v>19</v>
      </c>
      <c r="W193" s="855" t="s">
        <v>4</v>
      </c>
      <c r="X193" s="855" t="s">
        <v>1</v>
      </c>
      <c r="Y193" s="855" t="s">
        <v>9</v>
      </c>
      <c r="Z193" s="855" t="s">
        <v>218</v>
      </c>
      <c r="AA193" s="140" t="s">
        <v>17</v>
      </c>
      <c r="AB193" s="140" t="s">
        <v>19</v>
      </c>
      <c r="AC193" s="140" t="s">
        <v>4</v>
      </c>
      <c r="AD193" s="855" t="s">
        <v>1</v>
      </c>
      <c r="AE193" s="855" t="s">
        <v>9</v>
      </c>
      <c r="AF193" s="855" t="s">
        <v>219</v>
      </c>
      <c r="AG193" s="140" t="s">
        <v>17</v>
      </c>
      <c r="AH193" s="140" t="s">
        <v>19</v>
      </c>
      <c r="AI193" s="346" t="s">
        <v>688</v>
      </c>
      <c r="AJ193" s="351" t="s">
        <v>689</v>
      </c>
    </row>
    <row r="194" spans="1:36">
      <c r="A194" s="141" t="s">
        <v>33</v>
      </c>
      <c r="B194" s="141" t="s">
        <v>34</v>
      </c>
      <c r="C194" s="141" t="s">
        <v>45</v>
      </c>
      <c r="D194" s="141" t="s">
        <v>35</v>
      </c>
      <c r="E194" s="141" t="s">
        <v>36</v>
      </c>
      <c r="F194" s="141" t="s">
        <v>37</v>
      </c>
      <c r="G194" s="141" t="s">
        <v>38</v>
      </c>
      <c r="H194" s="229" t="s">
        <v>39</v>
      </c>
      <c r="I194" s="141" t="s">
        <v>40</v>
      </c>
      <c r="J194" s="143" t="s">
        <v>41</v>
      </c>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342"/>
      <c r="AJ194" s="330"/>
    </row>
    <row r="195" spans="1:36">
      <c r="A195" s="1101" t="s">
        <v>397</v>
      </c>
      <c r="B195" s="1102"/>
      <c r="C195" s="1102"/>
      <c r="D195" s="1102"/>
      <c r="E195" s="1102"/>
      <c r="F195" s="144"/>
      <c r="G195" s="145"/>
      <c r="H195" s="230"/>
      <c r="I195" s="145"/>
      <c r="J195" s="147"/>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342"/>
      <c r="AJ195" s="330"/>
    </row>
    <row r="196" spans="1:36">
      <c r="A196" s="1075" t="s">
        <v>401</v>
      </c>
      <c r="B196" s="1076"/>
      <c r="C196" s="1076"/>
      <c r="D196" s="1076"/>
      <c r="E196" s="1076"/>
      <c r="F196" s="148"/>
      <c r="G196" s="149"/>
      <c r="H196" s="232"/>
      <c r="I196" s="149"/>
      <c r="J196" s="151"/>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342"/>
      <c r="AJ196" s="330"/>
    </row>
    <row r="197" spans="1:36">
      <c r="A197" s="1075" t="s">
        <v>456</v>
      </c>
      <c r="B197" s="1076"/>
      <c r="C197" s="1076"/>
      <c r="D197" s="1076"/>
      <c r="E197" s="1076"/>
      <c r="F197" s="1076"/>
      <c r="G197" s="1076"/>
      <c r="H197" s="1076"/>
      <c r="I197" s="1076"/>
      <c r="J197" s="1076"/>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342"/>
      <c r="AJ197" s="330"/>
    </row>
    <row r="198" spans="1:36">
      <c r="A198" s="1075" t="s">
        <v>403</v>
      </c>
      <c r="B198" s="1076"/>
      <c r="C198" s="1076"/>
      <c r="D198" s="1076"/>
      <c r="E198" s="148"/>
      <c r="F198" s="148"/>
      <c r="G198" s="149"/>
      <c r="H198" s="232"/>
      <c r="I198" s="149"/>
      <c r="J198" s="151"/>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342"/>
      <c r="AJ198" s="330"/>
    </row>
    <row r="199" spans="1:36" s="888" customFormat="1" ht="76.5">
      <c r="A199" s="938" t="s">
        <v>468</v>
      </c>
      <c r="B199" s="911"/>
      <c r="C199" s="914"/>
      <c r="D199" s="911" t="s">
        <v>457</v>
      </c>
      <c r="E199" s="939" t="s">
        <v>458</v>
      </c>
      <c r="F199" s="940" t="s">
        <v>80</v>
      </c>
      <c r="G199" s="928" t="s">
        <v>65</v>
      </c>
      <c r="H199" s="940">
        <v>7</v>
      </c>
      <c r="I199" s="940">
        <v>5</v>
      </c>
      <c r="J199" s="914"/>
      <c r="K199" s="912"/>
      <c r="L199" s="929">
        <v>0</v>
      </c>
      <c r="M199" s="912"/>
      <c r="N199" s="912"/>
      <c r="O199" s="912"/>
      <c r="P199" s="912"/>
      <c r="Q199" s="928">
        <f>SUM(L199:P199)</f>
        <v>0</v>
      </c>
      <c r="R199" s="941">
        <v>167716.22</v>
      </c>
      <c r="S199" s="912"/>
      <c r="T199" s="912"/>
      <c r="U199" s="912"/>
      <c r="V199" s="912"/>
      <c r="W199" s="941">
        <v>167716.22</v>
      </c>
      <c r="X199" s="941">
        <v>167716.22</v>
      </c>
      <c r="Y199" s="912"/>
      <c r="Z199" s="912"/>
      <c r="AA199" s="912"/>
      <c r="AB199" s="912"/>
      <c r="AC199" s="941">
        <v>167716.22</v>
      </c>
      <c r="AD199" s="941">
        <v>298805.71999999997</v>
      </c>
      <c r="AE199" s="912"/>
      <c r="AF199" s="912"/>
      <c r="AG199" s="912"/>
      <c r="AH199" s="912"/>
      <c r="AI199" s="942">
        <f>SUM(AD199:AH199)</f>
        <v>298805.71999999997</v>
      </c>
      <c r="AJ199" s="922"/>
    </row>
    <row r="200" spans="1:36" ht="63.75">
      <c r="A200" s="837"/>
      <c r="B200" s="237"/>
      <c r="C200" s="151"/>
      <c r="D200" s="233" t="s">
        <v>459</v>
      </c>
      <c r="E200" s="234" t="s">
        <v>460</v>
      </c>
      <c r="F200" s="235" t="s">
        <v>80</v>
      </c>
      <c r="G200" s="155" t="s">
        <v>65</v>
      </c>
      <c r="H200" s="235">
        <v>7</v>
      </c>
      <c r="I200" s="235">
        <v>5</v>
      </c>
      <c r="J200" s="151"/>
      <c r="K200" s="148"/>
      <c r="L200" s="236">
        <v>40181</v>
      </c>
      <c r="M200" s="148"/>
      <c r="N200" s="148"/>
      <c r="O200" s="148"/>
      <c r="P200" s="148"/>
      <c r="Q200" s="155">
        <f>SUM(L200:P200)</f>
        <v>40181</v>
      </c>
      <c r="R200" s="148">
        <v>0</v>
      </c>
      <c r="S200" s="148"/>
      <c r="T200" s="148"/>
      <c r="U200" s="148"/>
      <c r="V200" s="148"/>
      <c r="W200" s="155">
        <f t="shared" ref="W200:W210" si="12">SUM(R200:V200)</f>
        <v>0</v>
      </c>
      <c r="X200" s="148">
        <v>0</v>
      </c>
      <c r="Y200" s="148">
        <v>0</v>
      </c>
      <c r="Z200" s="148"/>
      <c r="AA200" s="148"/>
      <c r="AB200" s="148"/>
      <c r="AC200" s="148">
        <f t="shared" ref="AC200:AC211" si="13">SUM(X200:AB200)</f>
        <v>0</v>
      </c>
      <c r="AD200" s="148">
        <v>0</v>
      </c>
      <c r="AE200" s="148"/>
      <c r="AF200" s="148"/>
      <c r="AG200" s="148"/>
      <c r="AH200" s="148"/>
      <c r="AI200" s="429">
        <f t="shared" ref="AI200:AI211" si="14">SUM(AD200:AH200)</f>
        <v>0</v>
      </c>
      <c r="AJ200" s="330"/>
    </row>
    <row r="201" spans="1:36" ht="76.5">
      <c r="A201" s="837"/>
      <c r="B201" s="237"/>
      <c r="C201" s="151"/>
      <c r="D201" s="233" t="s">
        <v>461</v>
      </c>
      <c r="E201" s="234" t="s">
        <v>462</v>
      </c>
      <c r="F201" s="235" t="s">
        <v>80</v>
      </c>
      <c r="G201" s="155" t="s">
        <v>65</v>
      </c>
      <c r="H201" s="235">
        <v>7</v>
      </c>
      <c r="I201" s="235">
        <v>5</v>
      </c>
      <c r="J201" s="151"/>
      <c r="K201" s="148"/>
      <c r="L201" s="158"/>
      <c r="M201" s="148"/>
      <c r="N201" s="148"/>
      <c r="O201" s="148"/>
      <c r="P201" s="148"/>
      <c r="Q201" s="155">
        <f t="shared" ref="Q201:Q211" si="15">SUM(L201:P201)</f>
        <v>0</v>
      </c>
      <c r="R201" s="236">
        <f>17395+25483</f>
        <v>42878</v>
      </c>
      <c r="S201" s="148"/>
      <c r="T201" s="148"/>
      <c r="U201" s="148"/>
      <c r="V201" s="148"/>
      <c r="W201" s="236">
        <f>17395+25483</f>
        <v>42878</v>
      </c>
      <c r="X201" s="236">
        <v>69995</v>
      </c>
      <c r="Y201" s="148"/>
      <c r="Z201" s="148"/>
      <c r="AA201" s="148"/>
      <c r="AB201" s="148"/>
      <c r="AC201" s="236">
        <v>69995</v>
      </c>
      <c r="AD201" s="236">
        <v>39600</v>
      </c>
      <c r="AE201" s="148"/>
      <c r="AF201" s="148"/>
      <c r="AG201" s="148"/>
      <c r="AH201" s="148"/>
      <c r="AI201" s="429">
        <f t="shared" si="14"/>
        <v>39600</v>
      </c>
      <c r="AJ201" s="330"/>
    </row>
    <row r="202" spans="1:36">
      <c r="A202" s="165"/>
      <c r="B202" s="237"/>
      <c r="C202" s="151"/>
      <c r="D202" s="149"/>
      <c r="E202" s="151"/>
      <c r="F202" s="148"/>
      <c r="G202" s="148"/>
      <c r="H202" s="148"/>
      <c r="I202" s="149"/>
      <c r="J202" s="151"/>
      <c r="K202" s="148"/>
      <c r="L202" s="158"/>
      <c r="M202" s="148"/>
      <c r="N202" s="148"/>
      <c r="O202" s="148"/>
      <c r="P202" s="148"/>
      <c r="Q202" s="155">
        <f t="shared" si="15"/>
        <v>0</v>
      </c>
      <c r="R202" s="148"/>
      <c r="S202" s="148"/>
      <c r="T202" s="148"/>
      <c r="U202" s="148"/>
      <c r="V202" s="148"/>
      <c r="W202" s="155">
        <f t="shared" si="12"/>
        <v>0</v>
      </c>
      <c r="X202" s="148"/>
      <c r="Y202" s="148"/>
      <c r="Z202" s="148"/>
      <c r="AA202" s="148"/>
      <c r="AB202" s="148"/>
      <c r="AC202" s="148">
        <f t="shared" si="13"/>
        <v>0</v>
      </c>
      <c r="AD202" s="148"/>
      <c r="AE202" s="148"/>
      <c r="AF202" s="148"/>
      <c r="AG202" s="148"/>
      <c r="AH202" s="148"/>
      <c r="AI202" s="429">
        <f t="shared" si="14"/>
        <v>0</v>
      </c>
      <c r="AJ202" s="330"/>
    </row>
    <row r="203" spans="1:36" ht="89.25">
      <c r="A203" s="66" t="s">
        <v>481</v>
      </c>
      <c r="B203" s="149"/>
      <c r="C203" s="148"/>
      <c r="D203" s="233" t="s">
        <v>461</v>
      </c>
      <c r="E203" s="234" t="s">
        <v>463</v>
      </c>
      <c r="F203" s="148" t="s">
        <v>80</v>
      </c>
      <c r="G203" s="155" t="s">
        <v>65</v>
      </c>
      <c r="H203" s="235">
        <v>7</v>
      </c>
      <c r="I203" s="235">
        <v>5</v>
      </c>
      <c r="J203" s="151"/>
      <c r="K203" s="148"/>
      <c r="L203" s="148"/>
      <c r="M203" s="148"/>
      <c r="N203" s="148"/>
      <c r="O203" s="148"/>
      <c r="P203" s="148"/>
      <c r="Q203" s="155">
        <f t="shared" si="15"/>
        <v>0</v>
      </c>
      <c r="R203" s="236">
        <v>25000</v>
      </c>
      <c r="S203" s="148"/>
      <c r="T203" s="148"/>
      <c r="U203" s="148"/>
      <c r="V203" s="148"/>
      <c r="W203" s="236">
        <v>25000</v>
      </c>
      <c r="X203" s="236">
        <v>25000</v>
      </c>
      <c r="Y203" s="148"/>
      <c r="Z203" s="148"/>
      <c r="AA203" s="148"/>
      <c r="AB203" s="148"/>
      <c r="AC203" s="236">
        <v>25000</v>
      </c>
      <c r="AD203" s="236">
        <v>25000</v>
      </c>
      <c r="AE203" s="148"/>
      <c r="AF203" s="148"/>
      <c r="AG203" s="148"/>
      <c r="AH203" s="148"/>
      <c r="AI203" s="429">
        <f t="shared" si="14"/>
        <v>25000</v>
      </c>
      <c r="AJ203" s="330"/>
    </row>
    <row r="204" spans="1:36" s="888" customFormat="1" ht="89.25">
      <c r="A204" s="885" t="s">
        <v>482</v>
      </c>
      <c r="B204" s="943"/>
      <c r="C204" s="914"/>
      <c r="D204" s="911" t="s">
        <v>404</v>
      </c>
      <c r="E204" s="939" t="s">
        <v>464</v>
      </c>
      <c r="F204" s="940" t="s">
        <v>80</v>
      </c>
      <c r="G204" s="928" t="s">
        <v>65</v>
      </c>
      <c r="H204" s="940">
        <v>7</v>
      </c>
      <c r="I204" s="940" t="s">
        <v>465</v>
      </c>
      <c r="J204" s="914"/>
      <c r="K204" s="912"/>
      <c r="L204" s="941">
        <v>12500</v>
      </c>
      <c r="M204" s="912"/>
      <c r="N204" s="912"/>
      <c r="O204" s="912"/>
      <c r="P204" s="912"/>
      <c r="Q204" s="928">
        <f t="shared" si="15"/>
        <v>12500</v>
      </c>
      <c r="R204" s="912">
        <v>0</v>
      </c>
      <c r="S204" s="912"/>
      <c r="T204" s="912"/>
      <c r="U204" s="912"/>
      <c r="V204" s="912"/>
      <c r="W204" s="928">
        <f>SUM(R204:V204)</f>
        <v>0</v>
      </c>
      <c r="X204" s="912">
        <v>0</v>
      </c>
      <c r="Y204" s="912"/>
      <c r="Z204" s="912"/>
      <c r="AA204" s="912"/>
      <c r="AB204" s="912"/>
      <c r="AC204" s="912">
        <f t="shared" si="13"/>
        <v>0</v>
      </c>
      <c r="AD204" s="912">
        <v>0</v>
      </c>
      <c r="AE204" s="912"/>
      <c r="AF204" s="912"/>
      <c r="AG204" s="912"/>
      <c r="AH204" s="912"/>
      <c r="AI204" s="942">
        <f t="shared" si="14"/>
        <v>0</v>
      </c>
      <c r="AJ204" s="922"/>
    </row>
    <row r="205" spans="1:36" ht="76.5">
      <c r="A205" s="66" t="s">
        <v>483</v>
      </c>
      <c r="B205" s="149"/>
      <c r="C205" s="148"/>
      <c r="D205" s="233" t="s">
        <v>404</v>
      </c>
      <c r="E205" s="234" t="s">
        <v>466</v>
      </c>
      <c r="F205" s="235" t="s">
        <v>80</v>
      </c>
      <c r="G205" s="155" t="s">
        <v>65</v>
      </c>
      <c r="H205" s="235">
        <v>7</v>
      </c>
      <c r="I205" s="235">
        <v>5</v>
      </c>
      <c r="J205" s="151"/>
      <c r="K205" s="148"/>
      <c r="L205" s="236">
        <v>20000</v>
      </c>
      <c r="M205" s="148"/>
      <c r="N205" s="148"/>
      <c r="O205" s="148"/>
      <c r="P205" s="148"/>
      <c r="Q205" s="155">
        <f t="shared" si="15"/>
        <v>20000</v>
      </c>
      <c r="R205" s="236">
        <v>0</v>
      </c>
      <c r="S205" s="148"/>
      <c r="T205" s="148"/>
      <c r="U205" s="148"/>
      <c r="V205" s="148"/>
      <c r="W205" s="155">
        <f t="shared" si="12"/>
        <v>0</v>
      </c>
      <c r="X205" s="236">
        <v>0</v>
      </c>
      <c r="Y205" s="148"/>
      <c r="Z205" s="148"/>
      <c r="AA205" s="148"/>
      <c r="AB205" s="148"/>
      <c r="AC205" s="148">
        <f t="shared" si="13"/>
        <v>0</v>
      </c>
      <c r="AD205" s="236">
        <v>0</v>
      </c>
      <c r="AE205" s="148"/>
      <c r="AF205" s="148"/>
      <c r="AG205" s="148"/>
      <c r="AH205" s="148"/>
      <c r="AI205" s="429">
        <f t="shared" si="14"/>
        <v>0</v>
      </c>
      <c r="AJ205" s="330"/>
    </row>
    <row r="206" spans="1:36">
      <c r="A206" s="1094" t="s">
        <v>467</v>
      </c>
      <c r="B206" s="1094"/>
      <c r="C206" s="1094"/>
      <c r="D206" s="1094"/>
      <c r="E206" s="1094"/>
      <c r="F206" s="1094"/>
      <c r="G206" s="1094"/>
      <c r="H206" s="1094"/>
      <c r="I206" s="1094"/>
      <c r="J206" s="151"/>
      <c r="K206" s="148"/>
      <c r="L206" s="148"/>
      <c r="M206" s="148"/>
      <c r="N206" s="148"/>
      <c r="O206" s="148"/>
      <c r="P206" s="148"/>
      <c r="Q206" s="155">
        <f t="shared" si="15"/>
        <v>0</v>
      </c>
      <c r="R206" s="148"/>
      <c r="S206" s="148"/>
      <c r="T206" s="148"/>
      <c r="U206" s="148"/>
      <c r="V206" s="148"/>
      <c r="W206" s="155">
        <f t="shared" si="12"/>
        <v>0</v>
      </c>
      <c r="X206" s="148"/>
      <c r="Y206" s="148"/>
      <c r="Z206" s="148"/>
      <c r="AA206" s="148"/>
      <c r="AB206" s="148"/>
      <c r="AC206" s="148">
        <f t="shared" si="13"/>
        <v>0</v>
      </c>
      <c r="AD206" s="148"/>
      <c r="AE206" s="148"/>
      <c r="AF206" s="148"/>
      <c r="AG206" s="148"/>
      <c r="AH206" s="148"/>
      <c r="AI206" s="429">
        <f t="shared" si="14"/>
        <v>0</v>
      </c>
      <c r="AJ206" s="330"/>
    </row>
    <row r="207" spans="1:36" ht="76.5">
      <c r="A207" s="1094" t="s">
        <v>468</v>
      </c>
      <c r="B207" s="149"/>
      <c r="C207" s="148"/>
      <c r="D207" s="238" t="s">
        <v>469</v>
      </c>
      <c r="E207" s="234" t="s">
        <v>470</v>
      </c>
      <c r="F207" s="235" t="s">
        <v>80</v>
      </c>
      <c r="G207" s="148" t="s">
        <v>65</v>
      </c>
      <c r="H207" s="235">
        <v>7</v>
      </c>
      <c r="I207" s="235">
        <v>5</v>
      </c>
      <c r="J207" s="151"/>
      <c r="K207" s="148"/>
      <c r="L207" s="148">
        <v>0</v>
      </c>
      <c r="M207" s="148"/>
      <c r="N207" s="148"/>
      <c r="O207" s="157"/>
      <c r="P207" s="148"/>
      <c r="Q207" s="155">
        <f t="shared" si="15"/>
        <v>0</v>
      </c>
      <c r="R207" s="236">
        <v>20000</v>
      </c>
      <c r="S207" s="148"/>
      <c r="T207" s="148"/>
      <c r="U207" s="157"/>
      <c r="V207" s="148"/>
      <c r="W207" s="155">
        <f t="shared" si="12"/>
        <v>20000</v>
      </c>
      <c r="X207" s="148">
        <v>0</v>
      </c>
      <c r="Y207" s="148"/>
      <c r="Z207" s="148"/>
      <c r="AA207" s="148"/>
      <c r="AB207" s="148"/>
      <c r="AC207" s="148">
        <f t="shared" si="13"/>
        <v>0</v>
      </c>
      <c r="AD207" s="148">
        <v>0</v>
      </c>
      <c r="AE207" s="148"/>
      <c r="AF207" s="148"/>
      <c r="AG207" s="157"/>
      <c r="AH207" s="148"/>
      <c r="AI207" s="429">
        <f t="shared" si="14"/>
        <v>0</v>
      </c>
      <c r="AJ207" s="330"/>
    </row>
    <row r="208" spans="1:36" ht="76.5">
      <c r="A208" s="1094"/>
      <c r="B208" s="149"/>
      <c r="C208" s="148"/>
      <c r="D208" s="238" t="s">
        <v>471</v>
      </c>
      <c r="E208" s="234" t="s">
        <v>472</v>
      </c>
      <c r="F208" s="235" t="s">
        <v>80</v>
      </c>
      <c r="G208" s="148" t="s">
        <v>65</v>
      </c>
      <c r="H208" s="235">
        <v>7</v>
      </c>
      <c r="I208" s="235">
        <v>5</v>
      </c>
      <c r="J208" s="151"/>
      <c r="K208" s="148"/>
      <c r="L208" s="158">
        <v>0</v>
      </c>
      <c r="M208" s="148"/>
      <c r="N208" s="148"/>
      <c r="O208" s="148"/>
      <c r="P208" s="148"/>
      <c r="Q208" s="155">
        <f t="shared" si="15"/>
        <v>0</v>
      </c>
      <c r="R208" s="236">
        <v>66593</v>
      </c>
      <c r="S208" s="148"/>
      <c r="T208" s="148"/>
      <c r="U208" s="148"/>
      <c r="V208" s="148"/>
      <c r="W208" s="236">
        <v>66593</v>
      </c>
      <c r="X208" s="236">
        <v>49984</v>
      </c>
      <c r="Y208" s="148"/>
      <c r="Z208" s="148"/>
      <c r="AA208" s="148"/>
      <c r="AB208" s="148"/>
      <c r="AC208" s="236">
        <v>49984</v>
      </c>
      <c r="AD208" s="236">
        <v>73217</v>
      </c>
      <c r="AE208" s="148"/>
      <c r="AF208" s="148"/>
      <c r="AG208" s="148"/>
      <c r="AH208" s="148"/>
      <c r="AI208" s="429">
        <f t="shared" si="14"/>
        <v>73217</v>
      </c>
      <c r="AJ208" s="330"/>
    </row>
    <row r="209" spans="1:36" ht="76.5">
      <c r="A209" s="1094"/>
      <c r="B209" s="149"/>
      <c r="C209" s="148"/>
      <c r="D209" s="235" t="s">
        <v>473</v>
      </c>
      <c r="E209" s="234" t="s">
        <v>474</v>
      </c>
      <c r="F209" s="235" t="s">
        <v>80</v>
      </c>
      <c r="G209" s="148" t="s">
        <v>65</v>
      </c>
      <c r="H209" s="235">
        <v>7</v>
      </c>
      <c r="I209" s="235">
        <v>5</v>
      </c>
      <c r="J209" s="151"/>
      <c r="K209" s="148"/>
      <c r="L209" s="236">
        <v>2285</v>
      </c>
      <c r="M209" s="148"/>
      <c r="N209" s="148"/>
      <c r="O209" s="157"/>
      <c r="P209" s="148"/>
      <c r="Q209" s="155">
        <f t="shared" si="15"/>
        <v>2285</v>
      </c>
      <c r="R209" s="236">
        <v>6310</v>
      </c>
      <c r="S209" s="148"/>
      <c r="T209" s="148"/>
      <c r="U209" s="157"/>
      <c r="V209" s="148"/>
      <c r="W209" s="155">
        <f t="shared" si="12"/>
        <v>6310</v>
      </c>
      <c r="X209" s="236">
        <v>5590</v>
      </c>
      <c r="Y209" s="148"/>
      <c r="Z209" s="148"/>
      <c r="AA209" s="148"/>
      <c r="AB209" s="148"/>
      <c r="AC209" s="236">
        <v>5590</v>
      </c>
      <c r="AD209" s="236">
        <v>2460</v>
      </c>
      <c r="AE209" s="148"/>
      <c r="AF209" s="148"/>
      <c r="AG209" s="157"/>
      <c r="AH209" s="148"/>
      <c r="AI209" s="429">
        <f t="shared" si="14"/>
        <v>2460</v>
      </c>
      <c r="AJ209" s="330"/>
    </row>
    <row r="210" spans="1:36" ht="89.25">
      <c r="A210" s="66" t="s">
        <v>475</v>
      </c>
      <c r="B210" s="149"/>
      <c r="C210" s="148"/>
      <c r="D210" s="233" t="s">
        <v>404</v>
      </c>
      <c r="E210" s="234" t="s">
        <v>476</v>
      </c>
      <c r="F210" s="235" t="s">
        <v>80</v>
      </c>
      <c r="G210" s="148" t="s">
        <v>65</v>
      </c>
      <c r="H210" s="235" t="s">
        <v>406</v>
      </c>
      <c r="I210" s="149">
        <v>5</v>
      </c>
      <c r="J210" s="151"/>
      <c r="K210" s="148"/>
      <c r="L210" s="239">
        <v>0</v>
      </c>
      <c r="M210" s="148"/>
      <c r="N210" s="148"/>
      <c r="O210" s="148"/>
      <c r="P210" s="148"/>
      <c r="Q210" s="155">
        <f t="shared" si="15"/>
        <v>0</v>
      </c>
      <c r="R210" s="148">
        <v>0</v>
      </c>
      <c r="S210" s="148"/>
      <c r="T210" s="148"/>
      <c r="U210" s="148"/>
      <c r="V210" s="148"/>
      <c r="W210" s="155">
        <f t="shared" si="12"/>
        <v>0</v>
      </c>
      <c r="X210" s="236">
        <v>100000</v>
      </c>
      <c r="Y210" s="148"/>
      <c r="Z210" s="148"/>
      <c r="AA210" s="148"/>
      <c r="AB210" s="148"/>
      <c r="AC210" s="236">
        <v>100000</v>
      </c>
      <c r="AD210" s="236">
        <v>100000</v>
      </c>
      <c r="AE210" s="148"/>
      <c r="AF210" s="148"/>
      <c r="AG210" s="148"/>
      <c r="AH210" s="148"/>
      <c r="AI210" s="429">
        <f t="shared" si="14"/>
        <v>100000</v>
      </c>
      <c r="AJ210" s="330"/>
    </row>
    <row r="211" spans="1:36" ht="89.25">
      <c r="A211" s="66" t="s">
        <v>477</v>
      </c>
      <c r="B211" s="149"/>
      <c r="C211" s="148"/>
      <c r="D211" s="233" t="s">
        <v>404</v>
      </c>
      <c r="E211" s="234" t="s">
        <v>478</v>
      </c>
      <c r="F211" s="235" t="s">
        <v>80</v>
      </c>
      <c r="G211" s="148"/>
      <c r="H211" s="235">
        <v>7</v>
      </c>
      <c r="I211" s="235">
        <v>5</v>
      </c>
      <c r="J211" s="151"/>
      <c r="K211" s="148"/>
      <c r="L211" s="148">
        <v>0</v>
      </c>
      <c r="M211" s="148"/>
      <c r="N211" s="148"/>
      <c r="O211" s="148"/>
      <c r="P211" s="148"/>
      <c r="Q211" s="155">
        <f t="shared" si="15"/>
        <v>0</v>
      </c>
      <c r="R211" s="240">
        <v>126056.23</v>
      </c>
      <c r="S211" s="148"/>
      <c r="T211" s="148"/>
      <c r="U211" s="148"/>
      <c r="V211" s="148"/>
      <c r="W211" s="430">
        <f>SUM(R211:V211)</f>
        <v>126056.23</v>
      </c>
      <c r="X211" s="240"/>
      <c r="Y211" s="148">
        <v>0</v>
      </c>
      <c r="Z211" s="148"/>
      <c r="AA211" s="148"/>
      <c r="AB211" s="148"/>
      <c r="AC211" s="148">
        <f t="shared" si="13"/>
        <v>0</v>
      </c>
      <c r="AD211" s="148">
        <v>0</v>
      </c>
      <c r="AE211" s="148"/>
      <c r="AF211" s="148"/>
      <c r="AG211" s="148"/>
      <c r="AH211" s="148"/>
      <c r="AI211" s="429">
        <f t="shared" si="14"/>
        <v>0</v>
      </c>
      <c r="AJ211" s="330"/>
    </row>
    <row r="212" spans="1:36">
      <c r="A212" s="241" t="s">
        <v>479</v>
      </c>
      <c r="B212" s="170"/>
      <c r="C212" s="175"/>
      <c r="D212" s="352"/>
      <c r="E212" s="353"/>
      <c r="F212" s="354"/>
      <c r="G212" s="175"/>
      <c r="H212" s="354"/>
      <c r="I212" s="354"/>
      <c r="J212" s="171"/>
      <c r="K212" s="175"/>
      <c r="L212" s="312">
        <v>74966</v>
      </c>
      <c r="M212" s="175"/>
      <c r="N212" s="175"/>
      <c r="O212" s="175"/>
      <c r="P212" s="175"/>
      <c r="Q212" s="355">
        <v>74966</v>
      </c>
      <c r="R212" s="356">
        <v>454553</v>
      </c>
      <c r="S212" s="175"/>
      <c r="T212" s="175"/>
      <c r="U212" s="175"/>
      <c r="V212" s="175"/>
      <c r="W212" s="357">
        <v>454533</v>
      </c>
      <c r="X212" s="356">
        <v>344421</v>
      </c>
      <c r="Y212" s="175"/>
      <c r="Z212" s="175"/>
      <c r="AA212" s="175"/>
      <c r="AB212" s="175"/>
      <c r="AC212" s="312">
        <v>344421</v>
      </c>
      <c r="AD212" s="312">
        <v>539083</v>
      </c>
      <c r="AE212" s="175"/>
      <c r="AF212" s="175"/>
      <c r="AG212" s="175"/>
      <c r="AH212" s="175"/>
      <c r="AI212" s="358">
        <v>539083</v>
      </c>
      <c r="AJ212" s="359">
        <v>1413023</v>
      </c>
    </row>
    <row r="213" spans="1:36">
      <c r="A213" s="241"/>
      <c r="B213" s="170"/>
      <c r="C213" s="175"/>
      <c r="D213" s="352"/>
      <c r="E213" s="353"/>
      <c r="F213" s="354"/>
      <c r="G213" s="175"/>
      <c r="H213" s="354"/>
      <c r="I213" s="354"/>
      <c r="J213" s="171"/>
      <c r="K213" s="175"/>
      <c r="L213" s="425">
        <f>SUM(L199:L211)</f>
        <v>74966</v>
      </c>
      <c r="M213" s="425">
        <f t="shared" ref="M213:AG213" si="16">SUM(M199:M211)</f>
        <v>0</v>
      </c>
      <c r="N213" s="425">
        <f t="shared" si="16"/>
        <v>0</v>
      </c>
      <c r="O213" s="425">
        <f t="shared" si="16"/>
        <v>0</v>
      </c>
      <c r="P213" s="425">
        <f t="shared" si="16"/>
        <v>0</v>
      </c>
      <c r="Q213" s="425">
        <f t="shared" si="16"/>
        <v>74966</v>
      </c>
      <c r="R213" s="425">
        <f t="shared" si="16"/>
        <v>454553.44999999995</v>
      </c>
      <c r="S213" s="425">
        <f t="shared" si="16"/>
        <v>0</v>
      </c>
      <c r="T213" s="425">
        <f t="shared" si="16"/>
        <v>0</v>
      </c>
      <c r="U213" s="425">
        <f t="shared" si="16"/>
        <v>0</v>
      </c>
      <c r="V213" s="425">
        <f t="shared" si="16"/>
        <v>0</v>
      </c>
      <c r="W213" s="425">
        <f t="shared" si="16"/>
        <v>454553.44999999995</v>
      </c>
      <c r="X213" s="425">
        <f t="shared" si="16"/>
        <v>418285.22</v>
      </c>
      <c r="Y213" s="425">
        <f t="shared" si="16"/>
        <v>0</v>
      </c>
      <c r="Z213" s="425">
        <f t="shared" si="16"/>
        <v>0</v>
      </c>
      <c r="AA213" s="425">
        <f t="shared" si="16"/>
        <v>0</v>
      </c>
      <c r="AB213" s="425">
        <f t="shared" si="16"/>
        <v>0</v>
      </c>
      <c r="AC213" s="425">
        <f t="shared" si="16"/>
        <v>418285.22</v>
      </c>
      <c r="AD213" s="425">
        <f t="shared" si="16"/>
        <v>539082.72</v>
      </c>
      <c r="AE213" s="425">
        <f t="shared" si="16"/>
        <v>0</v>
      </c>
      <c r="AF213" s="425">
        <f t="shared" si="16"/>
        <v>0</v>
      </c>
      <c r="AG213" s="425">
        <f t="shared" si="16"/>
        <v>0</v>
      </c>
      <c r="AH213" s="425">
        <f>SUM(AH199:AH211)</f>
        <v>0</v>
      </c>
      <c r="AI213" s="425">
        <f>SUM(AI199:AI211)</f>
        <v>539082.72</v>
      </c>
      <c r="AJ213" s="426">
        <f>SUM(AI213+AC213+W213+Q213)</f>
        <v>1486887.39</v>
      </c>
    </row>
    <row r="214" spans="1:36">
      <c r="A214" s="66"/>
      <c r="B214" s="149"/>
      <c r="C214" s="148"/>
      <c r="D214" s="233"/>
      <c r="E214" s="234"/>
      <c r="F214" s="235"/>
      <c r="G214" s="148"/>
      <c r="H214" s="235"/>
      <c r="I214" s="235"/>
      <c r="J214" s="151"/>
      <c r="K214" s="148"/>
      <c r="L214" s="148"/>
      <c r="M214" s="148"/>
      <c r="N214" s="148"/>
      <c r="O214" s="148"/>
      <c r="P214" s="148"/>
      <c r="Q214" s="155"/>
      <c r="R214" s="240"/>
      <c r="S214" s="148"/>
      <c r="T214" s="148"/>
      <c r="U214" s="148"/>
      <c r="V214" s="148"/>
      <c r="W214" s="155"/>
      <c r="X214" s="240"/>
      <c r="Y214" s="148"/>
      <c r="Z214" s="148"/>
      <c r="AA214" s="148"/>
      <c r="AB214" s="148"/>
      <c r="AC214" s="148"/>
      <c r="AD214" s="148"/>
      <c r="AE214" s="148"/>
      <c r="AF214" s="148"/>
      <c r="AG214" s="148"/>
      <c r="AH214" s="148"/>
      <c r="AI214" s="342"/>
      <c r="AJ214" s="330"/>
    </row>
    <row r="215" spans="1:36">
      <c r="A215" s="66"/>
      <c r="B215" s="149"/>
      <c r="C215" s="148"/>
      <c r="D215" s="233"/>
      <c r="E215" s="234"/>
      <c r="F215" s="235"/>
      <c r="G215" s="148"/>
      <c r="H215" s="235"/>
      <c r="I215" s="235"/>
      <c r="J215" s="151"/>
      <c r="K215" s="148"/>
      <c r="L215" s="148"/>
      <c r="M215" s="148"/>
      <c r="N215" s="148"/>
      <c r="O215" s="148"/>
      <c r="P215" s="148"/>
      <c r="Q215" s="155"/>
      <c r="R215" s="240"/>
      <c r="S215" s="148"/>
      <c r="T215" s="148"/>
      <c r="U215" s="148"/>
      <c r="V215" s="148"/>
      <c r="W215" s="155"/>
      <c r="X215" s="240"/>
      <c r="Y215" s="148"/>
      <c r="Z215" s="148"/>
      <c r="AA215" s="148"/>
      <c r="AB215" s="148"/>
      <c r="AC215" s="148"/>
      <c r="AD215" s="148"/>
      <c r="AE215" s="148"/>
      <c r="AF215" s="148"/>
      <c r="AG215" s="148"/>
      <c r="AH215" s="148"/>
      <c r="AI215" s="342"/>
      <c r="AJ215" s="330"/>
    </row>
    <row r="216" spans="1:36">
      <c r="A216" s="4"/>
      <c r="B216" s="149"/>
      <c r="C216" s="148"/>
      <c r="D216" s="149"/>
      <c r="E216" s="148"/>
      <c r="F216" s="148"/>
      <c r="G216" s="148"/>
      <c r="H216" s="148"/>
      <c r="I216" s="149"/>
      <c r="J216" s="151"/>
      <c r="K216" s="148"/>
      <c r="L216" s="239"/>
      <c r="M216" s="148"/>
      <c r="N216" s="148"/>
      <c r="O216" s="148"/>
      <c r="P216" s="148"/>
      <c r="Q216" s="155"/>
      <c r="R216" s="148"/>
      <c r="S216" s="148"/>
      <c r="T216" s="148"/>
      <c r="U216" s="148"/>
      <c r="V216" s="148"/>
      <c r="W216" s="155"/>
      <c r="X216" s="148"/>
      <c r="Y216" s="148"/>
      <c r="Z216" s="148"/>
      <c r="AA216" s="148"/>
      <c r="AB216" s="148"/>
      <c r="AC216" s="148"/>
      <c r="AD216" s="148"/>
      <c r="AE216" s="148"/>
      <c r="AF216" s="148"/>
      <c r="AG216" s="148"/>
      <c r="AH216" s="148"/>
      <c r="AI216" s="342"/>
      <c r="AJ216" s="330"/>
    </row>
    <row r="217" spans="1:36">
      <c r="A217" s="1095" t="s">
        <v>480</v>
      </c>
      <c r="B217" s="1096"/>
      <c r="C217" s="1096"/>
      <c r="D217" s="1096"/>
      <c r="E217" s="1096"/>
      <c r="F217" s="1096"/>
      <c r="G217" s="1096"/>
      <c r="H217" s="1096"/>
      <c r="I217" s="1096"/>
      <c r="J217" s="1097"/>
      <c r="K217" s="148"/>
      <c r="L217" s="148"/>
      <c r="M217" s="148"/>
      <c r="N217" s="148"/>
      <c r="O217" s="148"/>
      <c r="P217" s="148"/>
      <c r="Q217" s="155"/>
      <c r="R217" s="148"/>
      <c r="S217" s="148"/>
      <c r="T217" s="148"/>
      <c r="U217" s="148"/>
      <c r="V217" s="148"/>
      <c r="W217" s="155"/>
      <c r="X217" s="148"/>
      <c r="Y217" s="148"/>
      <c r="Z217" s="148"/>
      <c r="AA217" s="148"/>
      <c r="AB217" s="148"/>
      <c r="AC217" s="148"/>
      <c r="AD217" s="148"/>
      <c r="AE217" s="148"/>
      <c r="AF217" s="148"/>
      <c r="AG217" s="148"/>
      <c r="AH217" s="148"/>
      <c r="AI217" s="343"/>
      <c r="AJ217" s="332"/>
    </row>
    <row r="218" spans="1:36">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row>
    <row r="219" spans="1:36">
      <c r="A219" s="1084"/>
      <c r="B219" s="850"/>
      <c r="C219" s="850"/>
      <c r="D219" s="1084" t="s">
        <v>0</v>
      </c>
      <c r="E219" s="1084" t="s">
        <v>210</v>
      </c>
      <c r="F219" s="1098" t="s">
        <v>5</v>
      </c>
      <c r="G219" s="1099"/>
      <c r="H219" s="1084" t="s">
        <v>22</v>
      </c>
      <c r="I219" s="1084" t="s">
        <v>211</v>
      </c>
      <c r="J219" s="1084" t="s">
        <v>212</v>
      </c>
      <c r="K219" s="1084" t="s">
        <v>213</v>
      </c>
      <c r="L219" s="1087" t="s">
        <v>214</v>
      </c>
      <c r="M219" s="1088"/>
      <c r="N219" s="1088"/>
      <c r="O219" s="1088"/>
      <c r="P219" s="1088"/>
      <c r="Q219" s="1088"/>
      <c r="R219" s="1088"/>
      <c r="S219" s="1088"/>
      <c r="T219" s="1088"/>
      <c r="U219" s="1088"/>
      <c r="V219" s="1088"/>
      <c r="W219" s="1088"/>
      <c r="X219" s="1088"/>
      <c r="Y219" s="1088"/>
      <c r="Z219" s="1088"/>
      <c r="AA219" s="1088"/>
      <c r="AB219" s="1088"/>
      <c r="AC219" s="1088"/>
      <c r="AD219" s="1088"/>
      <c r="AE219" s="1088"/>
      <c r="AF219" s="1088"/>
      <c r="AG219" s="1088"/>
      <c r="AH219" s="1088"/>
    </row>
    <row r="220" spans="1:36" ht="38.25">
      <c r="A220" s="1085"/>
      <c r="B220" s="851" t="s">
        <v>215</v>
      </c>
      <c r="C220" s="851" t="s">
        <v>216</v>
      </c>
      <c r="D220" s="1085"/>
      <c r="E220" s="1085"/>
      <c r="F220" s="1089" t="s">
        <v>217</v>
      </c>
      <c r="G220" s="1089" t="s">
        <v>6</v>
      </c>
      <c r="H220" s="1085"/>
      <c r="I220" s="1085"/>
      <c r="J220" s="1085"/>
      <c r="K220" s="1085"/>
      <c r="L220" s="1091" t="s">
        <v>12</v>
      </c>
      <c r="M220" s="1092"/>
      <c r="N220" s="1092"/>
      <c r="O220" s="1092"/>
      <c r="P220" s="1092"/>
      <c r="Q220" s="1093"/>
      <c r="R220" s="1091" t="s">
        <v>13</v>
      </c>
      <c r="S220" s="1092"/>
      <c r="T220" s="1092"/>
      <c r="U220" s="1092"/>
      <c r="V220" s="1092"/>
      <c r="W220" s="1093"/>
      <c r="X220" s="1091" t="s">
        <v>14</v>
      </c>
      <c r="Y220" s="1092"/>
      <c r="Z220" s="1092"/>
      <c r="AA220" s="1092"/>
      <c r="AB220" s="1092"/>
      <c r="AC220" s="1093"/>
      <c r="AD220" s="1091" t="s">
        <v>15</v>
      </c>
      <c r="AE220" s="1092"/>
      <c r="AF220" s="1092"/>
      <c r="AG220" s="1092"/>
      <c r="AH220" s="1092"/>
      <c r="AI220" s="335"/>
      <c r="AJ220" s="336"/>
    </row>
    <row r="221" spans="1:36" ht="30">
      <c r="A221" s="1086"/>
      <c r="B221" s="852"/>
      <c r="C221" s="852"/>
      <c r="D221" s="1086"/>
      <c r="E221" s="1086"/>
      <c r="F221" s="1090"/>
      <c r="G221" s="1090"/>
      <c r="H221" s="1086"/>
      <c r="I221" s="1086"/>
      <c r="J221" s="1086"/>
      <c r="K221" s="1086"/>
      <c r="L221" s="96" t="s">
        <v>1</v>
      </c>
      <c r="M221" s="96" t="s">
        <v>9</v>
      </c>
      <c r="N221" s="96" t="s">
        <v>218</v>
      </c>
      <c r="O221" s="96" t="s">
        <v>17</v>
      </c>
      <c r="P221" s="96" t="s">
        <v>19</v>
      </c>
      <c r="Q221" s="96" t="s">
        <v>4</v>
      </c>
      <c r="R221" s="96" t="s">
        <v>1</v>
      </c>
      <c r="S221" s="96" t="s">
        <v>2</v>
      </c>
      <c r="T221" s="96" t="s">
        <v>219</v>
      </c>
      <c r="U221" s="96" t="s">
        <v>17</v>
      </c>
      <c r="V221" s="96" t="s">
        <v>19</v>
      </c>
      <c r="W221" s="96" t="s">
        <v>4</v>
      </c>
      <c r="X221" s="96" t="s">
        <v>1</v>
      </c>
      <c r="Y221" s="96" t="s">
        <v>9</v>
      </c>
      <c r="Z221" s="96" t="s">
        <v>218</v>
      </c>
      <c r="AA221" s="96" t="s">
        <v>17</v>
      </c>
      <c r="AB221" s="96" t="s">
        <v>19</v>
      </c>
      <c r="AC221" s="96" t="s">
        <v>4</v>
      </c>
      <c r="AD221" s="96" t="s">
        <v>1</v>
      </c>
      <c r="AE221" s="96" t="s">
        <v>9</v>
      </c>
      <c r="AF221" s="96" t="s">
        <v>219</v>
      </c>
      <c r="AG221" s="96" t="s">
        <v>17</v>
      </c>
      <c r="AH221" s="853" t="s">
        <v>19</v>
      </c>
      <c r="AI221" s="349" t="s">
        <v>688</v>
      </c>
      <c r="AJ221" s="350" t="s">
        <v>691</v>
      </c>
    </row>
    <row r="222" spans="1:36">
      <c r="A222" s="852"/>
      <c r="B222" s="852" t="s">
        <v>33</v>
      </c>
      <c r="C222" s="852" t="s">
        <v>34</v>
      </c>
      <c r="D222" s="852" t="s">
        <v>45</v>
      </c>
      <c r="E222" s="854" t="s">
        <v>220</v>
      </c>
      <c r="F222" s="852" t="s">
        <v>36</v>
      </c>
      <c r="G222" s="852" t="s">
        <v>37</v>
      </c>
      <c r="H222" s="852" t="s">
        <v>38</v>
      </c>
      <c r="I222" s="852" t="s">
        <v>39</v>
      </c>
      <c r="J222" s="96" t="s">
        <v>40</v>
      </c>
      <c r="K222" s="96" t="s">
        <v>41</v>
      </c>
      <c r="L222" s="96" t="s">
        <v>221</v>
      </c>
      <c r="M222" s="96" t="s">
        <v>222</v>
      </c>
      <c r="N222" s="96" t="s">
        <v>223</v>
      </c>
      <c r="O222" s="96" t="s">
        <v>224</v>
      </c>
      <c r="P222" s="96" t="s">
        <v>225</v>
      </c>
      <c r="Q222" s="96" t="s">
        <v>226</v>
      </c>
      <c r="R222" s="96" t="s">
        <v>227</v>
      </c>
      <c r="S222" s="96" t="s">
        <v>228</v>
      </c>
      <c r="T222" s="96" t="s">
        <v>229</v>
      </c>
      <c r="U222" s="96" t="s">
        <v>230</v>
      </c>
      <c r="V222" s="96" t="s">
        <v>231</v>
      </c>
      <c r="W222" s="96" t="s">
        <v>232</v>
      </c>
      <c r="X222" s="96" t="s">
        <v>233</v>
      </c>
      <c r="Y222" s="96" t="s">
        <v>234</v>
      </c>
      <c r="Z222" s="96" t="s">
        <v>235</v>
      </c>
      <c r="AA222" s="96" t="s">
        <v>236</v>
      </c>
      <c r="AB222" s="96" t="s">
        <v>237</v>
      </c>
      <c r="AC222" s="96" t="s">
        <v>238</v>
      </c>
      <c r="AD222" s="96" t="s">
        <v>239</v>
      </c>
      <c r="AE222" s="96" t="s">
        <v>240</v>
      </c>
      <c r="AF222" s="96" t="s">
        <v>241</v>
      </c>
      <c r="AG222" s="96" t="s">
        <v>242</v>
      </c>
      <c r="AH222" s="853" t="s">
        <v>243</v>
      </c>
      <c r="AI222" s="346"/>
      <c r="AJ222" s="332"/>
    </row>
    <row r="223" spans="1:36">
      <c r="A223" s="1075"/>
      <c r="B223" s="1076"/>
      <c r="C223" s="1076"/>
      <c r="D223" s="1077"/>
      <c r="E223" s="148"/>
      <c r="F223" s="148"/>
      <c r="G223" s="149"/>
      <c r="H223" s="232"/>
      <c r="I223" s="149"/>
      <c r="J223" s="151"/>
      <c r="K223" s="148"/>
      <c r="L223" s="148"/>
      <c r="M223" s="148"/>
      <c r="N223" s="148"/>
      <c r="O223" s="148"/>
      <c r="P223" s="148"/>
      <c r="Q223" s="155">
        <f t="shared" ref="Q223:Q254" si="17">SUM(L223:P223)</f>
        <v>0</v>
      </c>
      <c r="R223" s="148"/>
      <c r="S223" s="148"/>
      <c r="T223" s="148"/>
      <c r="U223" s="148"/>
      <c r="V223" s="148"/>
      <c r="W223" s="155">
        <f t="shared" ref="W223:W254" si="18">SUM(R223:V223)</f>
        <v>0</v>
      </c>
      <c r="X223" s="148"/>
      <c r="Y223" s="148"/>
      <c r="Z223" s="148"/>
      <c r="AA223" s="148"/>
      <c r="AB223" s="148"/>
      <c r="AC223" s="148"/>
      <c r="AD223" s="148"/>
      <c r="AE223" s="148"/>
      <c r="AF223" s="148"/>
      <c r="AG223" s="148"/>
      <c r="AH223" s="151"/>
      <c r="AI223" s="342"/>
      <c r="AJ223" s="330"/>
    </row>
    <row r="224" spans="1:36">
      <c r="A224" s="1075" t="s">
        <v>287</v>
      </c>
      <c r="B224" s="1076"/>
      <c r="C224" s="1076"/>
      <c r="D224" s="1076"/>
      <c r="E224" s="1076"/>
      <c r="F224" s="1076"/>
      <c r="G224" s="1076"/>
      <c r="H224" s="1076"/>
      <c r="I224" s="1076"/>
      <c r="J224" s="1077"/>
      <c r="K224" s="148"/>
      <c r="L224" s="231"/>
      <c r="M224" s="231"/>
      <c r="N224" s="231"/>
      <c r="O224" s="231"/>
      <c r="P224" s="231"/>
      <c r="Q224" s="242">
        <f t="shared" si="17"/>
        <v>0</v>
      </c>
      <c r="R224" s="231"/>
      <c r="S224" s="231"/>
      <c r="T224" s="231"/>
      <c r="U224" s="231"/>
      <c r="V224" s="231"/>
      <c r="W224" s="242">
        <f t="shared" si="18"/>
        <v>0</v>
      </c>
      <c r="X224" s="231"/>
      <c r="Y224" s="231"/>
      <c r="Z224" s="231"/>
      <c r="AA224" s="231"/>
      <c r="AB224" s="231"/>
      <c r="AC224" s="231"/>
      <c r="AD224" s="231"/>
      <c r="AE224" s="231"/>
      <c r="AF224" s="231"/>
      <c r="AG224" s="231"/>
      <c r="AH224" s="250"/>
      <c r="AI224" s="342"/>
      <c r="AJ224" s="330"/>
    </row>
    <row r="225" spans="1:36">
      <c r="A225" s="4" t="s">
        <v>484</v>
      </c>
      <c r="B225" s="849"/>
      <c r="C225" s="849"/>
      <c r="D225" s="849"/>
      <c r="E225" s="243"/>
      <c r="F225" s="243"/>
      <c r="G225" s="244"/>
      <c r="H225" s="245"/>
      <c r="I225" s="244"/>
      <c r="J225" s="243"/>
      <c r="K225" s="148"/>
      <c r="L225" s="231"/>
      <c r="M225" s="231"/>
      <c r="N225" s="231"/>
      <c r="O225" s="231"/>
      <c r="P225" s="231"/>
      <c r="Q225" s="242">
        <f t="shared" si="17"/>
        <v>0</v>
      </c>
      <c r="R225" s="231"/>
      <c r="S225" s="231"/>
      <c r="T225" s="231"/>
      <c r="U225" s="231"/>
      <c r="V225" s="231"/>
      <c r="W225" s="242">
        <f t="shared" si="18"/>
        <v>0</v>
      </c>
      <c r="X225" s="231"/>
      <c r="Y225" s="231"/>
      <c r="Z225" s="231"/>
      <c r="AA225" s="231"/>
      <c r="AB225" s="231"/>
      <c r="AC225" s="231"/>
      <c r="AD225" s="231"/>
      <c r="AE225" s="231"/>
      <c r="AF225" s="231"/>
      <c r="AG225" s="231"/>
      <c r="AH225" s="250"/>
      <c r="AI225" s="342"/>
      <c r="AJ225" s="330"/>
    </row>
    <row r="226" spans="1:36">
      <c r="A226" s="6" t="s">
        <v>485</v>
      </c>
      <c r="B226" s="849"/>
      <c r="C226" s="849"/>
      <c r="D226" s="849"/>
      <c r="E226" s="243"/>
      <c r="F226" s="243"/>
      <c r="G226" s="244"/>
      <c r="H226" s="245"/>
      <c r="I226" s="244"/>
      <c r="J226" s="243"/>
      <c r="K226" s="148"/>
      <c r="L226" s="231"/>
      <c r="M226" s="231"/>
      <c r="N226" s="231"/>
      <c r="O226" s="231"/>
      <c r="P226" s="231"/>
      <c r="Q226" s="242">
        <f t="shared" si="17"/>
        <v>0</v>
      </c>
      <c r="R226" s="231"/>
      <c r="S226" s="231"/>
      <c r="T226" s="231"/>
      <c r="U226" s="231"/>
      <c r="V226" s="231"/>
      <c r="W226" s="242">
        <f t="shared" si="18"/>
        <v>0</v>
      </c>
      <c r="X226" s="231"/>
      <c r="Y226" s="231"/>
      <c r="Z226" s="231"/>
      <c r="AA226" s="231"/>
      <c r="AB226" s="231"/>
      <c r="AC226" s="231"/>
      <c r="AD226" s="231"/>
      <c r="AE226" s="231"/>
      <c r="AF226" s="231"/>
      <c r="AG226" s="231"/>
      <c r="AH226" s="250"/>
      <c r="AI226" s="342"/>
      <c r="AJ226" s="330"/>
    </row>
    <row r="227" spans="1:36">
      <c r="A227" s="6" t="s">
        <v>486</v>
      </c>
      <c r="B227" s="870"/>
      <c r="C227" s="870"/>
      <c r="D227" s="870"/>
      <c r="E227" s="148"/>
      <c r="F227" s="148"/>
      <c r="G227" s="149"/>
      <c r="H227" s="232"/>
      <c r="I227" s="149"/>
      <c r="J227" s="148"/>
      <c r="K227" s="148"/>
      <c r="L227" s="231"/>
      <c r="M227" s="231"/>
      <c r="N227" s="231"/>
      <c r="O227" s="231"/>
      <c r="P227" s="231"/>
      <c r="Q227" s="242">
        <f t="shared" si="17"/>
        <v>0</v>
      </c>
      <c r="R227" s="231"/>
      <c r="S227" s="231"/>
      <c r="T227" s="231"/>
      <c r="U227" s="231"/>
      <c r="V227" s="231"/>
      <c r="W227" s="242">
        <f t="shared" si="18"/>
        <v>0</v>
      </c>
      <c r="X227" s="231"/>
      <c r="Y227" s="231"/>
      <c r="Z227" s="231"/>
      <c r="AA227" s="231"/>
      <c r="AB227" s="231"/>
      <c r="AC227" s="231"/>
      <c r="AD227" s="231"/>
      <c r="AE227" s="231"/>
      <c r="AF227" s="231"/>
      <c r="AG227" s="231"/>
      <c r="AH227" s="250"/>
      <c r="AI227" s="342"/>
      <c r="AJ227" s="330"/>
    </row>
    <row r="228" spans="1:36" ht="51">
      <c r="A228" s="172" t="s">
        <v>487</v>
      </c>
      <c r="B228" s="246"/>
      <c r="C228" s="246"/>
      <c r="D228" s="246"/>
      <c r="E228" s="246"/>
      <c r="F228" s="246"/>
      <c r="G228" s="246"/>
      <c r="H228" s="246"/>
      <c r="I228" s="246"/>
      <c r="J228" s="246"/>
      <c r="K228" s="148"/>
      <c r="L228" s="231"/>
      <c r="M228" s="231"/>
      <c r="N228" s="231"/>
      <c r="O228" s="231"/>
      <c r="P228" s="231"/>
      <c r="Q228" s="242">
        <f t="shared" si="17"/>
        <v>0</v>
      </c>
      <c r="R228" s="231"/>
      <c r="S228" s="231"/>
      <c r="T228" s="231"/>
      <c r="U228" s="231"/>
      <c r="V228" s="231"/>
      <c r="W228" s="242">
        <f t="shared" si="18"/>
        <v>0</v>
      </c>
      <c r="X228" s="231"/>
      <c r="Y228" s="231"/>
      <c r="Z228" s="231"/>
      <c r="AA228" s="231"/>
      <c r="AB228" s="231"/>
      <c r="AC228" s="231"/>
      <c r="AD228" s="231"/>
      <c r="AE228" s="231"/>
      <c r="AF228" s="231"/>
      <c r="AG228" s="231"/>
      <c r="AH228" s="250"/>
      <c r="AI228" s="342"/>
      <c r="AJ228" s="330"/>
    </row>
    <row r="229" spans="1:36">
      <c r="A229" s="6" t="s">
        <v>488</v>
      </c>
      <c r="B229" s="6"/>
      <c r="C229" s="6"/>
      <c r="D229" s="6"/>
      <c r="E229" s="6"/>
      <c r="F229" s="6"/>
      <c r="G229" s="6"/>
      <c r="H229" s="6"/>
      <c r="I229" s="6"/>
      <c r="J229" s="6"/>
      <c r="K229" s="6"/>
      <c r="L229" s="92"/>
      <c r="M229" s="92"/>
      <c r="N229" s="92"/>
      <c r="O229" s="92"/>
      <c r="P229" s="92"/>
      <c r="Q229" s="242">
        <f t="shared" si="17"/>
        <v>0</v>
      </c>
      <c r="R229" s="92"/>
      <c r="S229" s="92"/>
      <c r="T229" s="92"/>
      <c r="U229" s="92"/>
      <c r="V229" s="92"/>
      <c r="W229" s="242">
        <f t="shared" si="18"/>
        <v>0</v>
      </c>
      <c r="X229" s="92"/>
      <c r="Y229" s="92"/>
      <c r="Z229" s="92"/>
      <c r="AA229" s="92"/>
      <c r="AB229" s="92"/>
      <c r="AC229" s="231"/>
      <c r="AD229" s="92"/>
      <c r="AE229" s="92"/>
      <c r="AF229" s="92"/>
      <c r="AG229" s="92"/>
      <c r="AH229" s="338"/>
      <c r="AI229" s="342"/>
      <c r="AJ229" s="330"/>
    </row>
    <row r="230" spans="1:36" ht="38.25">
      <c r="A230" s="247" t="s">
        <v>489</v>
      </c>
      <c r="B230" s="149"/>
      <c r="C230" s="148"/>
      <c r="D230" s="149"/>
      <c r="E230" s="148"/>
      <c r="F230" s="148"/>
      <c r="G230" s="148"/>
      <c r="H230" s="148"/>
      <c r="I230" s="149"/>
      <c r="J230" s="151"/>
      <c r="K230" s="148"/>
      <c r="L230" s="231"/>
      <c r="M230" s="231"/>
      <c r="N230" s="231"/>
      <c r="O230" s="231"/>
      <c r="P230" s="231"/>
      <c r="Q230" s="242">
        <f t="shared" si="17"/>
        <v>0</v>
      </c>
      <c r="R230" s="248"/>
      <c r="S230" s="231"/>
      <c r="T230" s="231"/>
      <c r="U230" s="231"/>
      <c r="V230" s="231"/>
      <c r="W230" s="242">
        <f t="shared" si="18"/>
        <v>0</v>
      </c>
      <c r="X230" s="231"/>
      <c r="Y230" s="231"/>
      <c r="Z230" s="231"/>
      <c r="AA230" s="231"/>
      <c r="AB230" s="231"/>
      <c r="AC230" s="231"/>
      <c r="AD230" s="231"/>
      <c r="AE230" s="231"/>
      <c r="AF230" s="231"/>
      <c r="AG230" s="231"/>
      <c r="AH230" s="250"/>
      <c r="AI230" s="342"/>
      <c r="AJ230" s="330"/>
    </row>
    <row r="231" spans="1:36" s="562" customFormat="1" ht="370.5">
      <c r="A231" s="555" t="s">
        <v>490</v>
      </c>
      <c r="B231" s="532"/>
      <c r="C231" s="891"/>
      <c r="D231" s="532" t="s">
        <v>491</v>
      </c>
      <c r="E231" s="892" t="s">
        <v>492</v>
      </c>
      <c r="F231" s="507" t="s">
        <v>80</v>
      </c>
      <c r="G231" s="531"/>
      <c r="H231" s="515">
        <v>7</v>
      </c>
      <c r="I231" s="532"/>
      <c r="J231" s="891"/>
      <c r="K231" s="531"/>
      <c r="L231" s="893">
        <v>4995</v>
      </c>
      <c r="M231" s="598"/>
      <c r="N231" s="598"/>
      <c r="O231" s="598"/>
      <c r="P231" s="598"/>
      <c r="Q231" s="621">
        <f t="shared" si="17"/>
        <v>4995</v>
      </c>
      <c r="R231" s="598">
        <v>0</v>
      </c>
      <c r="S231" s="598"/>
      <c r="T231" s="598"/>
      <c r="U231" s="598"/>
      <c r="V231" s="598"/>
      <c r="W231" s="621">
        <f t="shared" si="18"/>
        <v>0</v>
      </c>
      <c r="X231" s="598">
        <v>0</v>
      </c>
      <c r="Y231" s="598"/>
      <c r="Z231" s="598"/>
      <c r="AA231" s="598"/>
      <c r="AB231" s="598"/>
      <c r="AC231" s="598">
        <f t="shared" ref="AC231:AC264" si="19">SUM(X231:AB231)</f>
        <v>0</v>
      </c>
      <c r="AD231" s="598">
        <v>0</v>
      </c>
      <c r="AE231" s="598"/>
      <c r="AF231" s="598"/>
      <c r="AG231" s="598"/>
      <c r="AH231" s="894"/>
      <c r="AI231" s="661"/>
      <c r="AJ231" s="655"/>
    </row>
    <row r="232" spans="1:36" ht="38.25">
      <c r="A232" s="4" t="s">
        <v>493</v>
      </c>
      <c r="B232" s="149"/>
      <c r="C232" s="148"/>
      <c r="D232" s="149" t="s">
        <v>491</v>
      </c>
      <c r="E232" s="148"/>
      <c r="F232" s="148"/>
      <c r="G232" s="148"/>
      <c r="H232" s="141">
        <v>7</v>
      </c>
      <c r="I232" s="149"/>
      <c r="J232" s="151"/>
      <c r="K232" s="148"/>
      <c r="L232" s="231">
        <v>0</v>
      </c>
      <c r="M232" s="231"/>
      <c r="N232" s="231"/>
      <c r="O232" s="231"/>
      <c r="P232" s="231"/>
      <c r="Q232" s="242">
        <f t="shared" si="17"/>
        <v>0</v>
      </c>
      <c r="R232" s="231">
        <v>0</v>
      </c>
      <c r="S232" s="231"/>
      <c r="T232" s="231"/>
      <c r="U232" s="231"/>
      <c r="V232" s="231"/>
      <c r="W232" s="242">
        <f t="shared" si="18"/>
        <v>0</v>
      </c>
      <c r="X232" s="231">
        <v>0</v>
      </c>
      <c r="Y232" s="231"/>
      <c r="Z232" s="231"/>
      <c r="AA232" s="231"/>
      <c r="AB232" s="231"/>
      <c r="AC232" s="231">
        <f t="shared" si="19"/>
        <v>0</v>
      </c>
      <c r="AD232" s="231">
        <v>0</v>
      </c>
      <c r="AE232" s="231"/>
      <c r="AF232" s="231"/>
      <c r="AG232" s="231"/>
      <c r="AH232" s="250"/>
      <c r="AI232" s="342"/>
      <c r="AJ232" s="330"/>
    </row>
    <row r="233" spans="1:36" s="562" customFormat="1" ht="318.75">
      <c r="A233" s="555" t="s">
        <v>494</v>
      </c>
      <c r="B233" s="532"/>
      <c r="C233" s="531"/>
      <c r="D233" s="532" t="s">
        <v>491</v>
      </c>
      <c r="E233" s="555" t="s">
        <v>495</v>
      </c>
      <c r="F233" s="507" t="s">
        <v>80</v>
      </c>
      <c r="G233" s="531"/>
      <c r="H233" s="531"/>
      <c r="I233" s="532"/>
      <c r="J233" s="891"/>
      <c r="K233" s="531"/>
      <c r="L233" s="895">
        <v>4371</v>
      </c>
      <c r="M233" s="896"/>
      <c r="N233" s="896"/>
      <c r="O233" s="896"/>
      <c r="P233" s="896"/>
      <c r="Q233" s="621">
        <f t="shared" si="17"/>
        <v>4371</v>
      </c>
      <c r="R233" s="598">
        <v>0</v>
      </c>
      <c r="S233" s="598"/>
      <c r="T233" s="598"/>
      <c r="U233" s="598"/>
      <c r="V233" s="598"/>
      <c r="W233" s="621">
        <f t="shared" si="18"/>
        <v>0</v>
      </c>
      <c r="X233" s="598">
        <v>0</v>
      </c>
      <c r="Y233" s="598"/>
      <c r="Z233" s="598"/>
      <c r="AA233" s="598"/>
      <c r="AB233" s="598"/>
      <c r="AC233" s="598">
        <f t="shared" si="19"/>
        <v>0</v>
      </c>
      <c r="AD233" s="598">
        <v>0</v>
      </c>
      <c r="AE233" s="598"/>
      <c r="AF233" s="598"/>
      <c r="AG233" s="598"/>
      <c r="AH233" s="894"/>
      <c r="AI233" s="661"/>
      <c r="AJ233" s="655"/>
    </row>
    <row r="234" spans="1:36" ht="178.5">
      <c r="A234" s="4" t="s">
        <v>496</v>
      </c>
      <c r="B234" s="149"/>
      <c r="C234" s="148"/>
      <c r="D234" s="149"/>
      <c r="E234" s="4" t="s">
        <v>497</v>
      </c>
      <c r="F234" s="856" t="s">
        <v>80</v>
      </c>
      <c r="G234" s="148"/>
      <c r="H234" s="141">
        <v>7</v>
      </c>
      <c r="I234" s="149"/>
      <c r="J234" s="151"/>
      <c r="K234" s="148"/>
      <c r="L234" s="251">
        <v>0</v>
      </c>
      <c r="M234" s="251"/>
      <c r="N234" s="251"/>
      <c r="O234" s="251"/>
      <c r="P234" s="251"/>
      <c r="Q234" s="242">
        <f t="shared" si="17"/>
        <v>0</v>
      </c>
      <c r="R234" s="251">
        <v>0</v>
      </c>
      <c r="S234" s="231"/>
      <c r="T234" s="231"/>
      <c r="U234" s="231"/>
      <c r="V234" s="231"/>
      <c r="W234" s="242">
        <f t="shared" si="18"/>
        <v>0</v>
      </c>
      <c r="X234" s="248">
        <v>0</v>
      </c>
      <c r="Y234" s="251"/>
      <c r="Z234" s="251"/>
      <c r="AA234" s="251"/>
      <c r="AB234" s="251"/>
      <c r="AC234" s="231">
        <f t="shared" si="19"/>
        <v>0</v>
      </c>
      <c r="AD234" s="248">
        <v>0</v>
      </c>
      <c r="AE234" s="231"/>
      <c r="AF234" s="231"/>
      <c r="AG234" s="231"/>
      <c r="AH234" s="250"/>
      <c r="AI234" s="342"/>
      <c r="AJ234" s="330"/>
    </row>
    <row r="235" spans="1:36" ht="409.5">
      <c r="A235" s="4" t="s">
        <v>570</v>
      </c>
      <c r="B235" s="149"/>
      <c r="C235" s="148"/>
      <c r="D235" s="149"/>
      <c r="E235" s="4" t="s">
        <v>498</v>
      </c>
      <c r="F235" s="148"/>
      <c r="G235" s="148"/>
      <c r="H235" s="148"/>
      <c r="I235" s="149"/>
      <c r="J235" s="151"/>
      <c r="K235" s="148"/>
      <c r="L235" s="252"/>
      <c r="M235" s="251"/>
      <c r="N235" s="251"/>
      <c r="O235" s="251"/>
      <c r="P235" s="251"/>
      <c r="Q235" s="242">
        <f t="shared" si="17"/>
        <v>0</v>
      </c>
      <c r="R235" s="253"/>
      <c r="S235" s="252"/>
      <c r="T235" s="252"/>
      <c r="U235" s="254"/>
      <c r="V235" s="252"/>
      <c r="W235" s="242">
        <f>SUM(S235:V235)</f>
        <v>0</v>
      </c>
      <c r="X235" s="254"/>
      <c r="Y235" s="252"/>
      <c r="Z235" s="252"/>
      <c r="AA235" s="252"/>
      <c r="AB235" s="252"/>
      <c r="AC235" s="231">
        <f>SUM(X235:AB235)</f>
        <v>0</v>
      </c>
      <c r="AD235" s="255">
        <v>0</v>
      </c>
      <c r="AE235" s="252"/>
      <c r="AF235" s="252"/>
      <c r="AG235" s="252"/>
      <c r="AH235" s="339"/>
      <c r="AI235" s="342"/>
      <c r="AJ235" s="330"/>
    </row>
    <row r="236" spans="1:36">
      <c r="A236" s="4" t="s">
        <v>499</v>
      </c>
      <c r="B236" s="149"/>
      <c r="C236" s="148"/>
      <c r="D236" s="149"/>
      <c r="E236" s="148"/>
      <c r="F236" s="148"/>
      <c r="G236" s="148"/>
      <c r="H236" s="148"/>
      <c r="I236" s="149"/>
      <c r="J236" s="151"/>
      <c r="K236" s="148"/>
      <c r="L236" s="251"/>
      <c r="M236" s="251"/>
      <c r="N236" s="251"/>
      <c r="O236" s="251"/>
      <c r="P236" s="251"/>
      <c r="Q236" s="242">
        <f t="shared" si="17"/>
        <v>0</v>
      </c>
      <c r="R236" s="251"/>
      <c r="S236" s="231"/>
      <c r="T236" s="231"/>
      <c r="U236" s="231"/>
      <c r="V236" s="231"/>
      <c r="W236" s="242">
        <f t="shared" si="18"/>
        <v>0</v>
      </c>
      <c r="X236" s="248"/>
      <c r="Y236" s="251"/>
      <c r="Z236" s="251"/>
      <c r="AA236" s="251"/>
      <c r="AB236" s="251"/>
      <c r="AC236" s="231">
        <f t="shared" si="19"/>
        <v>0</v>
      </c>
      <c r="AD236" s="248"/>
      <c r="AE236" s="231"/>
      <c r="AF236" s="231"/>
      <c r="AG236" s="231"/>
      <c r="AH236" s="250"/>
      <c r="AI236" s="342"/>
      <c r="AJ236" s="330"/>
    </row>
    <row r="237" spans="1:36" ht="25.5">
      <c r="A237" s="247" t="s">
        <v>500</v>
      </c>
      <c r="B237" s="149"/>
      <c r="C237" s="148"/>
      <c r="D237" s="149"/>
      <c r="E237" s="148"/>
      <c r="F237" s="148"/>
      <c r="G237" s="148"/>
      <c r="H237" s="148"/>
      <c r="I237" s="149"/>
      <c r="J237" s="151"/>
      <c r="K237" s="148"/>
      <c r="L237" s="251"/>
      <c r="M237" s="251"/>
      <c r="N237" s="251"/>
      <c r="O237" s="251"/>
      <c r="P237" s="251"/>
      <c r="Q237" s="242">
        <f t="shared" si="17"/>
        <v>0</v>
      </c>
      <c r="R237" s="251"/>
      <c r="S237" s="231"/>
      <c r="T237" s="231"/>
      <c r="U237" s="231"/>
      <c r="V237" s="231"/>
      <c r="W237" s="242">
        <f t="shared" si="18"/>
        <v>0</v>
      </c>
      <c r="X237" s="248"/>
      <c r="Y237" s="251"/>
      <c r="Z237" s="251"/>
      <c r="AA237" s="251"/>
      <c r="AB237" s="251"/>
      <c r="AC237" s="231">
        <f t="shared" si="19"/>
        <v>0</v>
      </c>
      <c r="AD237" s="248"/>
      <c r="AE237" s="231"/>
      <c r="AF237" s="231"/>
      <c r="AG237" s="231"/>
      <c r="AH237" s="250"/>
      <c r="AI237" s="342"/>
      <c r="AJ237" s="330"/>
    </row>
    <row r="238" spans="1:36" ht="102">
      <c r="A238" s="4" t="s">
        <v>501</v>
      </c>
      <c r="B238" s="149"/>
      <c r="C238" s="148"/>
      <c r="D238" s="149"/>
      <c r="E238" s="4" t="s">
        <v>502</v>
      </c>
      <c r="F238" s="856" t="s">
        <v>80</v>
      </c>
      <c r="G238" s="148"/>
      <c r="H238" s="141">
        <v>7</v>
      </c>
      <c r="I238" s="149"/>
      <c r="J238" s="151"/>
      <c r="K238" s="148"/>
      <c r="L238" s="251"/>
      <c r="M238" s="251"/>
      <c r="N238" s="252">
        <v>0</v>
      </c>
      <c r="O238" s="251"/>
      <c r="P238" s="251"/>
      <c r="Q238" s="242">
        <f t="shared" si="17"/>
        <v>0</v>
      </c>
      <c r="R238" s="252">
        <v>0</v>
      </c>
      <c r="S238" s="231"/>
      <c r="T238" s="231"/>
      <c r="U238" s="231"/>
      <c r="V238" s="231"/>
      <c r="W238" s="242">
        <f t="shared" si="18"/>
        <v>0</v>
      </c>
      <c r="X238" s="248">
        <v>0</v>
      </c>
      <c r="Y238" s="251"/>
      <c r="Z238" s="251"/>
      <c r="AA238" s="251"/>
      <c r="AB238" s="251"/>
      <c r="AC238" s="231">
        <f t="shared" si="19"/>
        <v>0</v>
      </c>
      <c r="AD238" s="253"/>
      <c r="AE238" s="231"/>
      <c r="AF238" s="231"/>
      <c r="AG238" s="231"/>
      <c r="AH238" s="250"/>
      <c r="AI238" s="342"/>
      <c r="AJ238" s="330"/>
    </row>
    <row r="239" spans="1:36" ht="267.75">
      <c r="A239" s="4" t="s">
        <v>503</v>
      </c>
      <c r="B239" s="149"/>
      <c r="C239" s="148"/>
      <c r="D239" s="149"/>
      <c r="E239" s="4" t="s">
        <v>504</v>
      </c>
      <c r="F239" s="856" t="s">
        <v>80</v>
      </c>
      <c r="G239" s="148"/>
      <c r="H239" s="141">
        <v>7</v>
      </c>
      <c r="I239" s="149"/>
      <c r="J239" s="151"/>
      <c r="K239" s="148"/>
      <c r="L239" s="251"/>
      <c r="M239" s="251"/>
      <c r="N239" s="251"/>
      <c r="O239" s="251"/>
      <c r="P239" s="251"/>
      <c r="Q239" s="242">
        <f t="shared" si="17"/>
        <v>0</v>
      </c>
      <c r="R239" s="251"/>
      <c r="S239" s="231"/>
      <c r="T239" s="231"/>
      <c r="U239" s="231"/>
      <c r="V239" s="231"/>
      <c r="W239" s="242">
        <f t="shared" si="18"/>
        <v>0</v>
      </c>
      <c r="X239" s="248"/>
      <c r="Y239" s="251"/>
      <c r="Z239" s="251"/>
      <c r="AA239" s="251"/>
      <c r="AB239" s="251"/>
      <c r="AC239" s="231">
        <f t="shared" si="19"/>
        <v>0</v>
      </c>
      <c r="AD239" s="248"/>
      <c r="AE239" s="231"/>
      <c r="AF239" s="231"/>
      <c r="AG239" s="231"/>
      <c r="AH239" s="250"/>
      <c r="AI239" s="342"/>
      <c r="AJ239" s="330"/>
    </row>
    <row r="240" spans="1:36" s="888" customFormat="1" ht="51">
      <c r="A240" s="885" t="s">
        <v>505</v>
      </c>
      <c r="B240" s="911"/>
      <c r="C240" s="912"/>
      <c r="D240" s="911"/>
      <c r="E240" s="912"/>
      <c r="F240" s="913" t="s">
        <v>80</v>
      </c>
      <c r="G240" s="912"/>
      <c r="H240" s="912"/>
      <c r="I240" s="911"/>
      <c r="J240" s="914"/>
      <c r="K240" s="912"/>
      <c r="L240" s="915">
        <v>15000</v>
      </c>
      <c r="M240" s="916"/>
      <c r="N240" s="916"/>
      <c r="O240" s="916"/>
      <c r="P240" s="916"/>
      <c r="Q240" s="917">
        <f t="shared" si="17"/>
        <v>15000</v>
      </c>
      <c r="R240" s="915">
        <v>15000</v>
      </c>
      <c r="S240" s="918"/>
      <c r="T240" s="918"/>
      <c r="U240" s="918"/>
      <c r="V240" s="918"/>
      <c r="W240" s="917">
        <f t="shared" si="18"/>
        <v>15000</v>
      </c>
      <c r="X240" s="919">
        <v>15000</v>
      </c>
      <c r="Y240" s="916"/>
      <c r="Z240" s="916"/>
      <c r="AA240" s="916"/>
      <c r="AB240" s="916"/>
      <c r="AC240" s="918">
        <f t="shared" si="19"/>
        <v>15000</v>
      </c>
      <c r="AD240" s="919">
        <v>15000</v>
      </c>
      <c r="AE240" s="918"/>
      <c r="AF240" s="918"/>
      <c r="AG240" s="918"/>
      <c r="AH240" s="920"/>
      <c r="AI240" s="921">
        <f>SUM(AD240:AH240)</f>
        <v>15000</v>
      </c>
      <c r="AJ240" s="922"/>
    </row>
    <row r="241" spans="1:36" ht="25.5">
      <c r="A241" s="4" t="s">
        <v>506</v>
      </c>
      <c r="B241" s="149"/>
      <c r="C241" s="148"/>
      <c r="D241" s="149"/>
      <c r="E241" s="148"/>
      <c r="F241" s="856"/>
      <c r="G241" s="148"/>
      <c r="H241" s="148"/>
      <c r="I241" s="149"/>
      <c r="J241" s="151"/>
      <c r="K241" s="148"/>
      <c r="L241" s="251"/>
      <c r="M241" s="251"/>
      <c r="N241" s="251"/>
      <c r="O241" s="251"/>
      <c r="P241" s="251"/>
      <c r="Q241" s="242">
        <f t="shared" si="17"/>
        <v>0</v>
      </c>
      <c r="R241" s="251"/>
      <c r="S241" s="231"/>
      <c r="T241" s="231"/>
      <c r="U241" s="231"/>
      <c r="V241" s="231"/>
      <c r="W241" s="242">
        <f t="shared" si="18"/>
        <v>0</v>
      </c>
      <c r="X241" s="248"/>
      <c r="Y241" s="251"/>
      <c r="Z241" s="251"/>
      <c r="AA241" s="251"/>
      <c r="AB241" s="251"/>
      <c r="AC241" s="231">
        <f t="shared" si="19"/>
        <v>0</v>
      </c>
      <c r="AD241" s="248"/>
      <c r="AE241" s="231"/>
      <c r="AF241" s="231"/>
      <c r="AG241" s="231"/>
      <c r="AH241" s="250"/>
      <c r="AI241" s="342"/>
      <c r="AJ241" s="330"/>
    </row>
    <row r="242" spans="1:36" ht="191.25">
      <c r="A242" s="4" t="s">
        <v>507</v>
      </c>
      <c r="B242" s="149"/>
      <c r="C242" s="148"/>
      <c r="D242" s="149"/>
      <c r="E242" s="4" t="s">
        <v>508</v>
      </c>
      <c r="F242" s="856" t="s">
        <v>80</v>
      </c>
      <c r="G242" s="141" t="s">
        <v>509</v>
      </c>
      <c r="H242" s="148"/>
      <c r="I242" s="149"/>
      <c r="J242" s="151"/>
      <c r="K242" s="148"/>
      <c r="L242" s="251"/>
      <c r="M242" s="251"/>
      <c r="N242" s="251"/>
      <c r="O242" s="251"/>
      <c r="P242" s="251"/>
      <c r="Q242" s="242">
        <f t="shared" si="17"/>
        <v>0</v>
      </c>
      <c r="R242" s="251"/>
      <c r="S242" s="231"/>
      <c r="T242" s="231"/>
      <c r="U242" s="231"/>
      <c r="V242" s="231"/>
      <c r="W242" s="242">
        <f t="shared" si="18"/>
        <v>0</v>
      </c>
      <c r="X242" s="248"/>
      <c r="Y242" s="251"/>
      <c r="Z242" s="251"/>
      <c r="AA242" s="251"/>
      <c r="AB242" s="251"/>
      <c r="AC242" s="231">
        <f t="shared" si="19"/>
        <v>0</v>
      </c>
      <c r="AD242" s="248"/>
      <c r="AE242" s="231"/>
      <c r="AF242" s="231"/>
      <c r="AG242" s="231"/>
      <c r="AH242" s="250"/>
      <c r="AI242" s="342"/>
      <c r="AJ242" s="330"/>
    </row>
    <row r="243" spans="1:36" s="910" customFormat="1" ht="102">
      <c r="A243" s="897" t="s">
        <v>510</v>
      </c>
      <c r="B243" s="898"/>
      <c r="C243" s="899"/>
      <c r="D243" s="898"/>
      <c r="E243" s="900" t="s">
        <v>511</v>
      </c>
      <c r="F243" s="901" t="s">
        <v>80</v>
      </c>
      <c r="G243" s="899"/>
      <c r="H243" s="899"/>
      <c r="I243" s="898"/>
      <c r="J243" s="902"/>
      <c r="K243" s="899"/>
      <c r="L243" s="903"/>
      <c r="M243" s="903"/>
      <c r="N243" s="903"/>
      <c r="O243" s="903"/>
      <c r="P243" s="903"/>
      <c r="Q243" s="904">
        <f t="shared" si="17"/>
        <v>0</v>
      </c>
      <c r="R243" s="903"/>
      <c r="S243" s="905"/>
      <c r="T243" s="905"/>
      <c r="U243" s="905"/>
      <c r="V243" s="905"/>
      <c r="W243" s="904">
        <f t="shared" si="18"/>
        <v>0</v>
      </c>
      <c r="X243" s="906"/>
      <c r="Y243" s="903"/>
      <c r="Z243" s="903"/>
      <c r="AA243" s="903"/>
      <c r="AB243" s="903"/>
      <c r="AC243" s="905">
        <f t="shared" si="19"/>
        <v>0</v>
      </c>
      <c r="AD243" s="906"/>
      <c r="AE243" s="905"/>
      <c r="AF243" s="905"/>
      <c r="AG243" s="905"/>
      <c r="AH243" s="907"/>
      <c r="AI243" s="908"/>
      <c r="AJ243" s="909"/>
    </row>
    <row r="244" spans="1:36" ht="102">
      <c r="A244" s="93" t="s">
        <v>512</v>
      </c>
      <c r="B244" s="149"/>
      <c r="C244" s="148"/>
      <c r="D244" s="149"/>
      <c r="E244" s="4" t="s">
        <v>513</v>
      </c>
      <c r="F244" s="856" t="s">
        <v>514</v>
      </c>
      <c r="G244" s="148"/>
      <c r="H244" s="148"/>
      <c r="I244" s="149"/>
      <c r="J244" s="151"/>
      <c r="K244" s="148"/>
      <c r="L244" s="251"/>
      <c r="M244" s="251"/>
      <c r="N244" s="251"/>
      <c r="O244" s="251"/>
      <c r="P244" s="251"/>
      <c r="Q244" s="242">
        <f t="shared" si="17"/>
        <v>0</v>
      </c>
      <c r="R244" s="251"/>
      <c r="S244" s="231"/>
      <c r="T244" s="231"/>
      <c r="U244" s="231"/>
      <c r="V244" s="231"/>
      <c r="W244" s="242">
        <f t="shared" si="18"/>
        <v>0</v>
      </c>
      <c r="X244" s="248"/>
      <c r="Y244" s="251"/>
      <c r="Z244" s="251"/>
      <c r="AA244" s="251"/>
      <c r="AB244" s="251"/>
      <c r="AC244" s="231">
        <f t="shared" si="19"/>
        <v>0</v>
      </c>
      <c r="AD244" s="248"/>
      <c r="AE244" s="231"/>
      <c r="AF244" s="231"/>
      <c r="AG244" s="231"/>
      <c r="AH244" s="250"/>
      <c r="AI244" s="342"/>
      <c r="AJ244" s="330"/>
    </row>
    <row r="245" spans="1:36">
      <c r="A245" s="172" t="s">
        <v>515</v>
      </c>
      <c r="B245" s="149"/>
      <c r="C245" s="148"/>
      <c r="D245" s="149"/>
      <c r="E245" s="4"/>
      <c r="F245" s="856"/>
      <c r="G245" s="148"/>
      <c r="H245" s="148"/>
      <c r="I245" s="149"/>
      <c r="J245" s="151"/>
      <c r="K245" s="148"/>
      <c r="L245" s="251"/>
      <c r="M245" s="251"/>
      <c r="N245" s="251"/>
      <c r="O245" s="251"/>
      <c r="P245" s="251"/>
      <c r="Q245" s="242">
        <f t="shared" si="17"/>
        <v>0</v>
      </c>
      <c r="R245" s="251"/>
      <c r="S245" s="231"/>
      <c r="T245" s="231"/>
      <c r="U245" s="231"/>
      <c r="V245" s="231"/>
      <c r="W245" s="242">
        <f t="shared" si="18"/>
        <v>0</v>
      </c>
      <c r="X245" s="248"/>
      <c r="Y245" s="251"/>
      <c r="Z245" s="251"/>
      <c r="AA245" s="251"/>
      <c r="AB245" s="251"/>
      <c r="AC245" s="231">
        <f t="shared" si="19"/>
        <v>0</v>
      </c>
      <c r="AD245" s="248"/>
      <c r="AE245" s="231"/>
      <c r="AF245" s="231"/>
      <c r="AG245" s="231"/>
      <c r="AH245" s="250"/>
      <c r="AI245" s="342"/>
      <c r="AJ245" s="330"/>
    </row>
    <row r="246" spans="1:36" ht="25.5">
      <c r="A246" s="4" t="s">
        <v>516</v>
      </c>
      <c r="B246" s="149"/>
      <c r="C246" s="148"/>
      <c r="D246" s="149"/>
      <c r="E246" s="4"/>
      <c r="F246" s="856"/>
      <c r="G246" s="148"/>
      <c r="H246" s="148"/>
      <c r="I246" s="149"/>
      <c r="J246" s="151"/>
      <c r="K246" s="148"/>
      <c r="L246" s="251"/>
      <c r="M246" s="251"/>
      <c r="N246" s="251"/>
      <c r="O246" s="251"/>
      <c r="P246" s="251"/>
      <c r="Q246" s="242">
        <f t="shared" si="17"/>
        <v>0</v>
      </c>
      <c r="R246" s="251"/>
      <c r="S246" s="231"/>
      <c r="T246" s="231"/>
      <c r="U246" s="231"/>
      <c r="V246" s="231"/>
      <c r="W246" s="242">
        <f t="shared" si="18"/>
        <v>0</v>
      </c>
      <c r="X246" s="248"/>
      <c r="Y246" s="251"/>
      <c r="Z246" s="251"/>
      <c r="AA246" s="251"/>
      <c r="AB246" s="251"/>
      <c r="AC246" s="231">
        <f t="shared" si="19"/>
        <v>0</v>
      </c>
      <c r="AD246" s="248"/>
      <c r="AE246" s="231"/>
      <c r="AF246" s="231"/>
      <c r="AG246" s="231"/>
      <c r="AH246" s="250"/>
      <c r="AI246" s="342"/>
      <c r="AJ246" s="330"/>
    </row>
    <row r="247" spans="1:36" s="888" customFormat="1" ht="153.75">
      <c r="A247" s="885" t="s">
        <v>517</v>
      </c>
      <c r="B247" s="911"/>
      <c r="C247" s="912"/>
      <c r="D247" s="911"/>
      <c r="E247" s="924" t="s">
        <v>518</v>
      </c>
      <c r="F247" s="913" t="s">
        <v>519</v>
      </c>
      <c r="G247" s="912"/>
      <c r="H247" s="912"/>
      <c r="I247" s="911"/>
      <c r="J247" s="914"/>
      <c r="K247" s="912"/>
      <c r="L247" s="915">
        <v>4950</v>
      </c>
      <c r="M247" s="916"/>
      <c r="N247" s="916"/>
      <c r="O247" s="916"/>
      <c r="P247" s="916"/>
      <c r="Q247" s="917">
        <f t="shared" si="17"/>
        <v>4950</v>
      </c>
      <c r="R247" s="916"/>
      <c r="S247" s="918"/>
      <c r="T247" s="918"/>
      <c r="U247" s="918"/>
      <c r="V247" s="918"/>
      <c r="W247" s="917">
        <f t="shared" si="18"/>
        <v>0</v>
      </c>
      <c r="X247" s="925"/>
      <c r="Y247" s="916"/>
      <c r="Z247" s="916"/>
      <c r="AA247" s="916"/>
      <c r="AB247" s="916"/>
      <c r="AC247" s="918">
        <f t="shared" si="19"/>
        <v>0</v>
      </c>
      <c r="AD247" s="925"/>
      <c r="AE247" s="918"/>
      <c r="AF247" s="918"/>
      <c r="AG247" s="918"/>
      <c r="AH247" s="920"/>
      <c r="AI247" s="926"/>
      <c r="AJ247" s="922"/>
    </row>
    <row r="248" spans="1:36" s="888" customFormat="1" ht="63.75">
      <c r="A248" s="885" t="s">
        <v>520</v>
      </c>
      <c r="B248" s="911"/>
      <c r="C248" s="912"/>
      <c r="D248" s="911"/>
      <c r="E248" s="885" t="s">
        <v>521</v>
      </c>
      <c r="F248" s="913" t="s">
        <v>80</v>
      </c>
      <c r="G248" s="912"/>
      <c r="H248" s="912"/>
      <c r="I248" s="911"/>
      <c r="J248" s="914"/>
      <c r="K248" s="912"/>
      <c r="L248" s="916"/>
      <c r="M248" s="916"/>
      <c r="N248" s="916"/>
      <c r="O248" s="916"/>
      <c r="P248" s="916"/>
      <c r="Q248" s="917">
        <f t="shared" si="17"/>
        <v>0</v>
      </c>
      <c r="R248" s="927">
        <v>44200</v>
      </c>
      <c r="S248" s="912"/>
      <c r="T248" s="912"/>
      <c r="U248" s="912"/>
      <c r="V248" s="912"/>
      <c r="W248" s="928">
        <f t="shared" si="18"/>
        <v>44200</v>
      </c>
      <c r="X248" s="925"/>
      <c r="Y248" s="916"/>
      <c r="Z248" s="916"/>
      <c r="AA248" s="916"/>
      <c r="AB248" s="916"/>
      <c r="AC248" s="918">
        <f t="shared" si="19"/>
        <v>0</v>
      </c>
      <c r="AD248" s="925"/>
      <c r="AE248" s="918"/>
      <c r="AF248" s="918"/>
      <c r="AG248" s="918"/>
      <c r="AH248" s="920"/>
      <c r="AI248" s="926"/>
      <c r="AJ248" s="922"/>
    </row>
    <row r="249" spans="1:36" ht="25.5">
      <c r="A249" s="4" t="s">
        <v>522</v>
      </c>
      <c r="B249" s="149"/>
      <c r="C249" s="148"/>
      <c r="D249" s="149"/>
      <c r="E249" s="4"/>
      <c r="F249" s="856"/>
      <c r="G249" s="148"/>
      <c r="H249" s="148"/>
      <c r="I249" s="149"/>
      <c r="J249" s="151"/>
      <c r="K249" s="148"/>
      <c r="L249" s="251"/>
      <c r="M249" s="251"/>
      <c r="N249" s="158"/>
      <c r="O249" s="158"/>
      <c r="P249" s="158"/>
      <c r="Q249" s="155">
        <f t="shared" si="17"/>
        <v>0</v>
      </c>
      <c r="R249" s="158"/>
      <c r="S249" s="148"/>
      <c r="T249" s="148"/>
      <c r="U249" s="148"/>
      <c r="V249" s="148"/>
      <c r="W249" s="155">
        <f t="shared" si="18"/>
        <v>0</v>
      </c>
      <c r="X249" s="239"/>
      <c r="Y249" s="158"/>
      <c r="Z249" s="158"/>
      <c r="AA249" s="158"/>
      <c r="AB249" s="158"/>
      <c r="AC249" s="148">
        <f t="shared" si="19"/>
        <v>0</v>
      </c>
      <c r="AD249" s="239"/>
      <c r="AE249" s="148"/>
      <c r="AF249" s="148"/>
      <c r="AG249" s="148"/>
      <c r="AH249" s="151"/>
      <c r="AI249" s="342"/>
      <c r="AJ249" s="330"/>
    </row>
    <row r="250" spans="1:36" s="888" customFormat="1" ht="89.25">
      <c r="A250" s="885" t="s">
        <v>523</v>
      </c>
      <c r="B250" s="911"/>
      <c r="C250" s="912"/>
      <c r="D250" s="911"/>
      <c r="E250" s="885" t="s">
        <v>524</v>
      </c>
      <c r="F250" s="913"/>
      <c r="G250" s="912"/>
      <c r="H250" s="912"/>
      <c r="I250" s="911"/>
      <c r="J250" s="914"/>
      <c r="K250" s="912"/>
      <c r="L250" s="916"/>
      <c r="M250" s="916"/>
      <c r="N250" s="929"/>
      <c r="O250" s="929"/>
      <c r="P250" s="929"/>
      <c r="Q250" s="928">
        <f t="shared" si="17"/>
        <v>0</v>
      </c>
      <c r="R250" s="929"/>
      <c r="S250" s="912"/>
      <c r="T250" s="912"/>
      <c r="U250" s="912"/>
      <c r="V250" s="912"/>
      <c r="W250" s="928">
        <f t="shared" si="18"/>
        <v>0</v>
      </c>
      <c r="X250" s="930"/>
      <c r="Y250" s="929"/>
      <c r="Z250" s="929"/>
      <c r="AA250" s="929"/>
      <c r="AB250" s="929"/>
      <c r="AC250" s="912">
        <f t="shared" si="19"/>
        <v>0</v>
      </c>
      <c r="AD250" s="930"/>
      <c r="AE250" s="912"/>
      <c r="AF250" s="912"/>
      <c r="AG250" s="912"/>
      <c r="AH250" s="914"/>
      <c r="AI250" s="926"/>
      <c r="AJ250" s="922"/>
    </row>
    <row r="251" spans="1:36" s="888" customFormat="1" ht="63.75">
      <c r="A251" s="885" t="s">
        <v>525</v>
      </c>
      <c r="B251" s="911"/>
      <c r="C251" s="912"/>
      <c r="D251" s="911"/>
      <c r="E251" s="885" t="s">
        <v>526</v>
      </c>
      <c r="F251" s="913" t="s">
        <v>527</v>
      </c>
      <c r="G251" s="912"/>
      <c r="H251" s="912"/>
      <c r="I251" s="911"/>
      <c r="J251" s="914"/>
      <c r="K251" s="912"/>
      <c r="L251" s="916"/>
      <c r="M251" s="916"/>
      <c r="N251" s="929"/>
      <c r="O251" s="931">
        <v>4900</v>
      </c>
      <c r="P251" s="929"/>
      <c r="Q251" s="928">
        <f t="shared" si="17"/>
        <v>4900</v>
      </c>
      <c r="R251" s="929"/>
      <c r="S251" s="912"/>
      <c r="T251" s="912"/>
      <c r="U251" s="912"/>
      <c r="V251" s="912"/>
      <c r="W251" s="928">
        <f t="shared" si="18"/>
        <v>0</v>
      </c>
      <c r="X251" s="930"/>
      <c r="Y251" s="929"/>
      <c r="Z251" s="929"/>
      <c r="AA251" s="929"/>
      <c r="AB251" s="929"/>
      <c r="AC251" s="912">
        <f t="shared" si="19"/>
        <v>0</v>
      </c>
      <c r="AD251" s="930"/>
      <c r="AE251" s="912"/>
      <c r="AF251" s="912"/>
      <c r="AG251" s="912"/>
      <c r="AH251" s="914"/>
      <c r="AI251" s="926"/>
      <c r="AJ251" s="922"/>
    </row>
    <row r="252" spans="1:36" s="888" customFormat="1" ht="63.75">
      <c r="A252" s="885" t="s">
        <v>528</v>
      </c>
      <c r="B252" s="911"/>
      <c r="C252" s="912"/>
      <c r="D252" s="911"/>
      <c r="E252" s="885" t="s">
        <v>529</v>
      </c>
      <c r="F252" s="913" t="s">
        <v>530</v>
      </c>
      <c r="G252" s="912"/>
      <c r="H252" s="912"/>
      <c r="I252" s="911"/>
      <c r="J252" s="914"/>
      <c r="K252" s="912"/>
      <c r="L252" s="916"/>
      <c r="M252" s="916"/>
      <c r="N252" s="929"/>
      <c r="O252" s="932">
        <v>15000</v>
      </c>
      <c r="P252" s="929"/>
      <c r="Q252" s="928">
        <f t="shared" si="17"/>
        <v>15000</v>
      </c>
      <c r="R252" s="929"/>
      <c r="S252" s="912"/>
      <c r="T252" s="912"/>
      <c r="U252" s="912"/>
      <c r="V252" s="912"/>
      <c r="W252" s="928">
        <f t="shared" si="18"/>
        <v>0</v>
      </c>
      <c r="X252" s="930"/>
      <c r="Y252" s="929"/>
      <c r="Z252" s="929"/>
      <c r="AA252" s="929"/>
      <c r="AB252" s="929"/>
      <c r="AC252" s="912">
        <f t="shared" si="19"/>
        <v>0</v>
      </c>
      <c r="AD252" s="930"/>
      <c r="AE252" s="912"/>
      <c r="AF252" s="912"/>
      <c r="AG252" s="912"/>
      <c r="AH252" s="914"/>
      <c r="AI252" s="926"/>
      <c r="AJ252" s="922"/>
    </row>
    <row r="253" spans="1:36">
      <c r="A253" s="4" t="s">
        <v>531</v>
      </c>
      <c r="B253" s="149"/>
      <c r="C253" s="148"/>
      <c r="D253" s="149"/>
      <c r="E253" s="4"/>
      <c r="F253" s="856"/>
      <c r="G253" s="148"/>
      <c r="H253" s="148"/>
      <c r="I253" s="149"/>
      <c r="J253" s="151"/>
      <c r="K253" s="148"/>
      <c r="L253" s="251"/>
      <c r="M253" s="251"/>
      <c r="N253" s="158"/>
      <c r="O253" s="158"/>
      <c r="P253" s="158"/>
      <c r="Q253" s="155">
        <f t="shared" si="17"/>
        <v>0</v>
      </c>
      <c r="R253" s="158"/>
      <c r="S253" s="148"/>
      <c r="T253" s="148"/>
      <c r="U253" s="148"/>
      <c r="V253" s="148"/>
      <c r="W253" s="155">
        <f t="shared" si="18"/>
        <v>0</v>
      </c>
      <c r="X253" s="239"/>
      <c r="Y253" s="158"/>
      <c r="Z253" s="158"/>
      <c r="AA253" s="158"/>
      <c r="AB253" s="158"/>
      <c r="AC253" s="148">
        <f t="shared" si="19"/>
        <v>0</v>
      </c>
      <c r="AD253" s="239"/>
      <c r="AE253" s="148"/>
      <c r="AF253" s="148"/>
      <c r="AG253" s="148"/>
      <c r="AH253" s="151"/>
      <c r="AI253" s="342"/>
      <c r="AJ253" s="330"/>
    </row>
    <row r="254" spans="1:36" ht="344.25">
      <c r="A254" s="4" t="s">
        <v>532</v>
      </c>
      <c r="B254" s="149"/>
      <c r="C254" s="148"/>
      <c r="D254" s="149"/>
      <c r="E254" s="4" t="s">
        <v>533</v>
      </c>
      <c r="F254" s="856" t="s">
        <v>534</v>
      </c>
      <c r="G254" s="148"/>
      <c r="H254" s="148"/>
      <c r="I254" s="149"/>
      <c r="J254" s="151"/>
      <c r="K254" s="148"/>
      <c r="L254" s="251"/>
      <c r="M254" s="251"/>
      <c r="N254" s="251"/>
      <c r="O254" s="251"/>
      <c r="P254" s="251"/>
      <c r="Q254" s="242">
        <f t="shared" si="17"/>
        <v>0</v>
      </c>
      <c r="R254" s="251"/>
      <c r="S254" s="231"/>
      <c r="T254" s="231"/>
      <c r="U254" s="231"/>
      <c r="V254" s="231"/>
      <c r="W254" s="242">
        <f t="shared" si="18"/>
        <v>0</v>
      </c>
      <c r="X254" s="248"/>
      <c r="Y254" s="251"/>
      <c r="Z254" s="251"/>
      <c r="AA254" s="251"/>
      <c r="AB254" s="251"/>
      <c r="AC254" s="231">
        <f t="shared" si="19"/>
        <v>0</v>
      </c>
      <c r="AD254" s="248"/>
      <c r="AE254" s="231"/>
      <c r="AF254" s="231"/>
      <c r="AG254" s="231"/>
      <c r="AH254" s="250"/>
      <c r="AI254" s="342"/>
      <c r="AJ254" s="330"/>
    </row>
    <row r="255" spans="1:36" ht="127.5">
      <c r="A255" s="4" t="s">
        <v>535</v>
      </c>
      <c r="B255" s="149"/>
      <c r="C255" s="148"/>
      <c r="D255" s="149"/>
      <c r="E255" s="4" t="s">
        <v>536</v>
      </c>
      <c r="F255" s="856" t="s">
        <v>537</v>
      </c>
      <c r="G255" s="148"/>
      <c r="H255" s="148"/>
      <c r="I255" s="149"/>
      <c r="J255" s="151"/>
      <c r="K255" s="148"/>
      <c r="L255" s="251"/>
      <c r="M255" s="251"/>
      <c r="N255" s="251"/>
      <c r="O255" s="251"/>
      <c r="P255" s="251"/>
      <c r="Q255" s="242"/>
      <c r="R255" s="251"/>
      <c r="S255" s="231"/>
      <c r="T255" s="231"/>
      <c r="U255" s="231"/>
      <c r="V255" s="231"/>
      <c r="W255" s="242"/>
      <c r="X255" s="248"/>
      <c r="Y255" s="251"/>
      <c r="Z255" s="251"/>
      <c r="AA255" s="251"/>
      <c r="AB255" s="251"/>
      <c r="AC255" s="231">
        <f t="shared" si="19"/>
        <v>0</v>
      </c>
      <c r="AD255" s="248"/>
      <c r="AE255" s="231"/>
      <c r="AF255" s="231"/>
      <c r="AG255" s="231"/>
      <c r="AH255" s="250"/>
      <c r="AI255" s="342"/>
      <c r="AJ255" s="330"/>
    </row>
    <row r="256" spans="1:36" ht="25.5">
      <c r="A256" s="4" t="s">
        <v>538</v>
      </c>
      <c r="B256" s="149"/>
      <c r="C256" s="148"/>
      <c r="D256" s="149"/>
      <c r="E256" s="4"/>
      <c r="F256" s="858"/>
      <c r="G256" s="148"/>
      <c r="H256" s="148"/>
      <c r="I256" s="149"/>
      <c r="J256" s="151"/>
      <c r="K256" s="148"/>
      <c r="L256" s="158"/>
      <c r="M256" s="158"/>
      <c r="N256" s="158"/>
      <c r="O256" s="158"/>
      <c r="P256" s="158"/>
      <c r="Q256" s="256"/>
      <c r="R256" s="158"/>
      <c r="S256" s="148"/>
      <c r="T256" s="148"/>
      <c r="U256" s="148"/>
      <c r="V256" s="148"/>
      <c r="W256" s="155"/>
      <c r="X256" s="239"/>
      <c r="Y256" s="158"/>
      <c r="Z256" s="158"/>
      <c r="AA256" s="158"/>
      <c r="AB256" s="158"/>
      <c r="AC256" s="148">
        <f t="shared" si="19"/>
        <v>0</v>
      </c>
      <c r="AD256" s="239"/>
      <c r="AE256" s="148"/>
      <c r="AF256" s="148"/>
      <c r="AG256" s="148"/>
      <c r="AH256" s="151"/>
      <c r="AI256" s="342"/>
      <c r="AJ256" s="330"/>
    </row>
    <row r="257" spans="1:36" ht="39">
      <c r="A257" s="93" t="s">
        <v>539</v>
      </c>
      <c r="B257" s="149"/>
      <c r="C257" s="148"/>
      <c r="D257" s="149"/>
      <c r="E257" s="4"/>
      <c r="F257" s="858"/>
      <c r="G257" s="148"/>
      <c r="H257" s="148"/>
      <c r="I257" s="149"/>
      <c r="J257" s="151"/>
      <c r="K257" s="148"/>
      <c r="L257" s="158"/>
      <c r="M257" s="158"/>
      <c r="N257" s="158"/>
      <c r="O257" s="158"/>
      <c r="P257" s="158"/>
      <c r="Q257" s="256"/>
      <c r="R257" s="158"/>
      <c r="S257" s="148"/>
      <c r="T257" s="148"/>
      <c r="U257" s="148"/>
      <c r="V257" s="148"/>
      <c r="W257" s="155"/>
      <c r="X257" s="239"/>
      <c r="Y257" s="158"/>
      <c r="Z257" s="158"/>
      <c r="AA257" s="158"/>
      <c r="AB257" s="158"/>
      <c r="AC257" s="148">
        <f t="shared" si="19"/>
        <v>0</v>
      </c>
      <c r="AD257" s="239"/>
      <c r="AE257" s="148"/>
      <c r="AF257" s="148"/>
      <c r="AG257" s="148"/>
      <c r="AH257" s="151"/>
      <c r="AI257" s="342"/>
      <c r="AJ257" s="330"/>
    </row>
    <row r="258" spans="1:36" ht="153">
      <c r="A258" s="89" t="s">
        <v>540</v>
      </c>
      <c r="B258" s="149"/>
      <c r="C258" s="148"/>
      <c r="D258" s="149"/>
      <c r="E258" s="4" t="s">
        <v>541</v>
      </c>
      <c r="F258" s="856" t="s">
        <v>530</v>
      </c>
      <c r="G258" s="148"/>
      <c r="H258" s="148"/>
      <c r="I258" s="149"/>
      <c r="J258" s="151"/>
      <c r="K258" s="148"/>
      <c r="L258" s="158"/>
      <c r="M258" s="158"/>
      <c r="N258" s="158"/>
      <c r="O258" s="158"/>
      <c r="P258" s="158"/>
      <c r="Q258" s="256"/>
      <c r="R258" s="158"/>
      <c r="S258" s="148"/>
      <c r="T258" s="148"/>
      <c r="U258" s="148"/>
      <c r="V258" s="148"/>
      <c r="W258" s="155"/>
      <c r="X258" s="239"/>
      <c r="Y258" s="158"/>
      <c r="Z258" s="158"/>
      <c r="AA258" s="158"/>
      <c r="AB258" s="158"/>
      <c r="AC258" s="148">
        <f t="shared" si="19"/>
        <v>0</v>
      </c>
      <c r="AD258" s="239"/>
      <c r="AE258" s="148"/>
      <c r="AF258" s="148"/>
      <c r="AG258" s="148"/>
      <c r="AH258" s="151"/>
      <c r="AI258" s="342"/>
      <c r="AJ258" s="330"/>
    </row>
    <row r="259" spans="1:36" ht="127.5">
      <c r="A259" s="257" t="s">
        <v>542</v>
      </c>
      <c r="B259" s="149"/>
      <c r="C259" s="148"/>
      <c r="D259" s="149"/>
      <c r="E259" s="4" t="s">
        <v>543</v>
      </c>
      <c r="F259" s="856" t="s">
        <v>544</v>
      </c>
      <c r="G259" s="148"/>
      <c r="H259" s="148"/>
      <c r="I259" s="149"/>
      <c r="J259" s="151"/>
      <c r="K259" s="148"/>
      <c r="L259" s="158"/>
      <c r="M259" s="158"/>
      <c r="N259" s="158"/>
      <c r="O259" s="158"/>
      <c r="P259" s="158"/>
      <c r="Q259" s="256"/>
      <c r="R259" s="158"/>
      <c r="S259" s="148"/>
      <c r="T259" s="148"/>
      <c r="U259" s="148"/>
      <c r="V259" s="148"/>
      <c r="W259" s="155"/>
      <c r="X259" s="239"/>
      <c r="Y259" s="158"/>
      <c r="Z259" s="158"/>
      <c r="AA259" s="158"/>
      <c r="AB259" s="158"/>
      <c r="AC259" s="148">
        <f t="shared" si="19"/>
        <v>0</v>
      </c>
      <c r="AD259" s="239"/>
      <c r="AE259" s="148"/>
      <c r="AF259" s="148"/>
      <c r="AG259" s="148"/>
      <c r="AH259" s="151"/>
      <c r="AI259" s="342"/>
      <c r="AJ259" s="330"/>
    </row>
    <row r="260" spans="1:36" ht="115.5">
      <c r="A260" s="933" t="s">
        <v>545</v>
      </c>
      <c r="B260" s="149"/>
      <c r="C260" s="148"/>
      <c r="D260" s="149"/>
      <c r="E260" s="249" t="s">
        <v>546</v>
      </c>
      <c r="F260" s="856" t="s">
        <v>80</v>
      </c>
      <c r="G260" s="148"/>
      <c r="H260" s="148"/>
      <c r="I260" s="149"/>
      <c r="J260" s="151"/>
      <c r="K260" s="148"/>
      <c r="L260" s="158"/>
      <c r="M260" s="158"/>
      <c r="N260" s="158"/>
      <c r="O260" s="158"/>
      <c r="P260" s="158"/>
      <c r="Q260" s="256"/>
      <c r="R260" s="158"/>
      <c r="S260" s="148"/>
      <c r="T260" s="148"/>
      <c r="U260" s="148"/>
      <c r="V260" s="148"/>
      <c r="W260" s="155"/>
      <c r="X260" s="239"/>
      <c r="Y260" s="158"/>
      <c r="Z260" s="158"/>
      <c r="AA260" s="158"/>
      <c r="AB260" s="158"/>
      <c r="AC260" s="148">
        <f t="shared" si="19"/>
        <v>0</v>
      </c>
      <c r="AD260" s="239"/>
      <c r="AE260" s="148"/>
      <c r="AF260" s="148"/>
      <c r="AG260" s="148"/>
      <c r="AH260" s="151"/>
      <c r="AI260" s="342"/>
      <c r="AJ260" s="330"/>
    </row>
    <row r="261" spans="1:36" ht="115.5">
      <c r="A261" s="89" t="s">
        <v>547</v>
      </c>
      <c r="B261" s="149"/>
      <c r="C261" s="148"/>
      <c r="D261" s="149"/>
      <c r="E261" s="249" t="s">
        <v>546</v>
      </c>
      <c r="F261" s="856" t="s">
        <v>80</v>
      </c>
      <c r="G261" s="148"/>
      <c r="H261" s="148"/>
      <c r="I261" s="149"/>
      <c r="J261" s="151"/>
      <c r="K261" s="148"/>
      <c r="L261" s="158"/>
      <c r="M261" s="158"/>
      <c r="N261" s="158"/>
      <c r="O261" s="158"/>
      <c r="P261" s="158"/>
      <c r="Q261" s="256"/>
      <c r="R261" s="158"/>
      <c r="S261" s="148"/>
      <c r="T261" s="148"/>
      <c r="U261" s="148"/>
      <c r="V261" s="148"/>
      <c r="W261" s="155"/>
      <c r="X261" s="239"/>
      <c r="Y261" s="158"/>
      <c r="Z261" s="158"/>
      <c r="AA261" s="158"/>
      <c r="AB261" s="158"/>
      <c r="AC261" s="148">
        <f t="shared" si="19"/>
        <v>0</v>
      </c>
      <c r="AD261" s="239"/>
      <c r="AE261" s="148"/>
      <c r="AF261" s="148"/>
      <c r="AG261" s="148"/>
      <c r="AH261" s="151"/>
      <c r="AI261" s="342"/>
      <c r="AJ261" s="330"/>
    </row>
    <row r="262" spans="1:36">
      <c r="A262" s="4" t="s">
        <v>548</v>
      </c>
      <c r="B262" s="149"/>
      <c r="C262" s="148"/>
      <c r="D262" s="149"/>
      <c r="E262" s="249"/>
      <c r="F262" s="856"/>
      <c r="G262" s="148"/>
      <c r="H262" s="148"/>
      <c r="I262" s="149"/>
      <c r="J262" s="151"/>
      <c r="K262" s="148"/>
      <c r="L262" s="158"/>
      <c r="M262" s="158"/>
      <c r="N262" s="158"/>
      <c r="O262" s="158"/>
      <c r="P262" s="158"/>
      <c r="Q262" s="155"/>
      <c r="R262" s="158"/>
      <c r="S262" s="148"/>
      <c r="T262" s="148"/>
      <c r="U262" s="148"/>
      <c r="V262" s="148"/>
      <c r="W262" s="155"/>
      <c r="X262" s="239"/>
      <c r="Y262" s="158"/>
      <c r="Z262" s="158"/>
      <c r="AA262" s="158"/>
      <c r="AB262" s="158"/>
      <c r="AC262" s="148">
        <f t="shared" si="19"/>
        <v>0</v>
      </c>
      <c r="AD262" s="239"/>
      <c r="AE262" s="148"/>
      <c r="AF262" s="148"/>
      <c r="AG262" s="148"/>
      <c r="AH262" s="151"/>
      <c r="AI262" s="342"/>
      <c r="AJ262" s="330"/>
    </row>
    <row r="263" spans="1:36" ht="25.5">
      <c r="A263" s="247" t="s">
        <v>549</v>
      </c>
      <c r="B263" s="149"/>
      <c r="C263" s="148"/>
      <c r="D263" s="149"/>
      <c r="E263" s="249"/>
      <c r="F263" s="856"/>
      <c r="G263" s="148"/>
      <c r="H263" s="148"/>
      <c r="I263" s="149"/>
      <c r="J263" s="151"/>
      <c r="K263" s="148"/>
      <c r="L263" s="158"/>
      <c r="M263" s="158"/>
      <c r="N263" s="158"/>
      <c r="O263" s="158"/>
      <c r="P263" s="158"/>
      <c r="Q263" s="155"/>
      <c r="R263" s="158"/>
      <c r="S263" s="148"/>
      <c r="T263" s="148"/>
      <c r="U263" s="148"/>
      <c r="V263" s="148"/>
      <c r="W263" s="155"/>
      <c r="X263" s="239"/>
      <c r="Y263" s="158"/>
      <c r="Z263" s="158"/>
      <c r="AA263" s="158"/>
      <c r="AB263" s="158"/>
      <c r="AC263" s="148">
        <f t="shared" si="19"/>
        <v>0</v>
      </c>
      <c r="AD263" s="239"/>
      <c r="AE263" s="148"/>
      <c r="AF263" s="148"/>
      <c r="AG263" s="148"/>
      <c r="AH263" s="151"/>
      <c r="AI263" s="342"/>
      <c r="AJ263" s="330"/>
    </row>
    <row r="264" spans="1:36" s="888" customFormat="1" ht="89.25">
      <c r="A264" s="885" t="s">
        <v>550</v>
      </c>
      <c r="B264" s="911"/>
      <c r="C264" s="912"/>
      <c r="D264" s="911"/>
      <c r="E264" s="885" t="s">
        <v>551</v>
      </c>
      <c r="F264" s="913" t="s">
        <v>527</v>
      </c>
      <c r="G264" s="912"/>
      <c r="H264" s="912"/>
      <c r="I264" s="911"/>
      <c r="J264" s="914"/>
      <c r="K264" s="912"/>
      <c r="L264" s="929"/>
      <c r="M264" s="929"/>
      <c r="N264" s="929"/>
      <c r="O264" s="929"/>
      <c r="P264" s="929"/>
      <c r="Q264" s="928"/>
      <c r="R264" s="934">
        <v>56010</v>
      </c>
      <c r="S264" s="912"/>
      <c r="T264" s="912"/>
      <c r="U264" s="912"/>
      <c r="V264" s="912"/>
      <c r="W264" s="935">
        <f>SUM(R264:V264)</f>
        <v>56010</v>
      </c>
      <c r="X264" s="934">
        <v>528380.62352000002</v>
      </c>
      <c r="Y264" s="929"/>
      <c r="Z264" s="929"/>
      <c r="AA264" s="929"/>
      <c r="AB264" s="929"/>
      <c r="AC264" s="931">
        <f t="shared" si="19"/>
        <v>528380.62352000002</v>
      </c>
      <c r="AD264" s="934">
        <v>924300.41399999999</v>
      </c>
      <c r="AE264" s="912"/>
      <c r="AF264" s="912"/>
      <c r="AG264" s="912"/>
      <c r="AH264" s="914"/>
      <c r="AI264" s="936">
        <f>SUM(AD264:AH264)</f>
        <v>924300.41399999999</v>
      </c>
      <c r="AJ264" s="922"/>
    </row>
    <row r="265" spans="1:36" s="888" customFormat="1" ht="63.75">
      <c r="A265" s="885" t="s">
        <v>552</v>
      </c>
      <c r="B265" s="911"/>
      <c r="C265" s="912"/>
      <c r="D265" s="911"/>
      <c r="E265" s="885" t="s">
        <v>553</v>
      </c>
      <c r="F265" s="913" t="s">
        <v>554</v>
      </c>
      <c r="G265" s="912"/>
      <c r="H265" s="912"/>
      <c r="I265" s="911"/>
      <c r="J265" s="914"/>
      <c r="K265" s="912"/>
      <c r="L265" s="937"/>
      <c r="M265" s="929"/>
      <c r="N265" s="929"/>
      <c r="O265" s="929"/>
      <c r="P265" s="929"/>
      <c r="Q265" s="928"/>
      <c r="R265" s="934">
        <v>26798.73</v>
      </c>
      <c r="S265" s="912"/>
      <c r="T265" s="912"/>
      <c r="U265" s="912"/>
      <c r="V265" s="912"/>
      <c r="W265" s="934">
        <f>SUM(R265:V265)</f>
        <v>26798.73</v>
      </c>
      <c r="X265" s="934">
        <v>363662.30670000002</v>
      </c>
      <c r="Y265" s="929"/>
      <c r="Z265" s="929"/>
      <c r="AA265" s="929"/>
      <c r="AB265" s="929"/>
      <c r="AC265" s="934">
        <f>SUM(X265:AB265)</f>
        <v>363662.30670000002</v>
      </c>
      <c r="AD265" s="934">
        <v>165518.51329999999</v>
      </c>
      <c r="AE265" s="912"/>
      <c r="AF265" s="912"/>
      <c r="AG265" s="912"/>
      <c r="AH265" s="914"/>
      <c r="AI265" s="936">
        <f>SUM(AD265:AH265)</f>
        <v>165518.51329999999</v>
      </c>
      <c r="AJ265" s="922"/>
    </row>
    <row r="266" spans="1:36">
      <c r="A266" s="4" t="s">
        <v>555</v>
      </c>
      <c r="B266" s="167"/>
      <c r="C266" s="168"/>
      <c r="D266" s="167"/>
      <c r="E266" s="4"/>
      <c r="F266" s="856"/>
      <c r="G266" s="169"/>
      <c r="H266" s="169"/>
      <c r="I266" s="170"/>
      <c r="J266" s="171"/>
      <c r="K266" s="172"/>
      <c r="L266" s="258"/>
      <c r="M266" s="174"/>
      <c r="N266" s="174"/>
      <c r="O266" s="258"/>
      <c r="P266" s="174"/>
      <c r="Q266" s="155"/>
      <c r="R266" s="258"/>
      <c r="S266" s="175"/>
      <c r="T266" s="175"/>
      <c r="U266" s="176"/>
      <c r="V266" s="175"/>
      <c r="W266" s="155"/>
      <c r="X266" s="258"/>
      <c r="Y266" s="174"/>
      <c r="Z266" s="174"/>
      <c r="AA266" s="258"/>
      <c r="AB266" s="174"/>
      <c r="AC266" s="148">
        <f t="shared" ref="AC266:AC273" si="20">SUM(X266:AB266)</f>
        <v>0</v>
      </c>
      <c r="AD266" s="258"/>
      <c r="AE266" s="175"/>
      <c r="AF266" s="175"/>
      <c r="AG266" s="176"/>
      <c r="AH266" s="171"/>
      <c r="AI266" s="342"/>
      <c r="AJ266" s="330"/>
    </row>
    <row r="267" spans="1:36" ht="25.5">
      <c r="A267" s="259" t="s">
        <v>556</v>
      </c>
      <c r="B267" s="246"/>
      <c r="C267" s="246"/>
      <c r="D267" s="246"/>
      <c r="E267" s="4"/>
      <c r="F267" s="856"/>
      <c r="G267" s="246"/>
      <c r="H267" s="246"/>
      <c r="I267" s="246"/>
      <c r="J267" s="246"/>
      <c r="K267" s="246"/>
      <c r="L267" s="246"/>
      <c r="M267" s="246"/>
      <c r="N267" s="246"/>
      <c r="O267" s="246"/>
      <c r="P267" s="246"/>
      <c r="Q267" s="148"/>
      <c r="R267" s="246"/>
      <c r="S267" s="246"/>
      <c r="T267" s="246"/>
      <c r="U267" s="246"/>
      <c r="V267" s="246"/>
      <c r="W267" s="148"/>
      <c r="X267" s="246"/>
      <c r="Y267" s="246"/>
      <c r="Z267" s="246"/>
      <c r="AA267" s="246"/>
      <c r="AB267" s="246"/>
      <c r="AC267" s="148">
        <f t="shared" si="20"/>
        <v>0</v>
      </c>
      <c r="AD267" s="246"/>
      <c r="AE267" s="246"/>
      <c r="AF267" s="246"/>
      <c r="AG267" s="246"/>
      <c r="AH267" s="340"/>
      <c r="AI267" s="342"/>
      <c r="AJ267" s="330"/>
    </row>
    <row r="268" spans="1:36" ht="192">
      <c r="A268" s="260" t="s">
        <v>557</v>
      </c>
      <c r="B268" s="246"/>
      <c r="C268" s="246"/>
      <c r="D268" s="246"/>
      <c r="E268" s="93" t="s">
        <v>558</v>
      </c>
      <c r="F268" s="856" t="s">
        <v>80</v>
      </c>
      <c r="G268" s="246"/>
      <c r="H268" s="246"/>
      <c r="I268" s="246"/>
      <c r="J268" s="246"/>
      <c r="K268" s="246"/>
      <c r="L268" s="246"/>
      <c r="M268" s="246"/>
      <c r="N268" s="246"/>
      <c r="O268" s="246"/>
      <c r="P268" s="246"/>
      <c r="Q268" s="148"/>
      <c r="R268" s="246"/>
      <c r="S268" s="246"/>
      <c r="T268" s="246"/>
      <c r="U268" s="246"/>
      <c r="V268" s="246"/>
      <c r="W268" s="148"/>
      <c r="X268" s="246"/>
      <c r="Y268" s="246"/>
      <c r="Z268" s="246"/>
      <c r="AA268" s="246"/>
      <c r="AB268" s="246"/>
      <c r="AC268" s="148">
        <f t="shared" si="20"/>
        <v>0</v>
      </c>
      <c r="AD268" s="246"/>
      <c r="AE268" s="246"/>
      <c r="AF268" s="246"/>
      <c r="AG268" s="246"/>
      <c r="AH268" s="340"/>
      <c r="AI268" s="342"/>
      <c r="AJ268" s="330"/>
    </row>
    <row r="269" spans="1:36" ht="26.25">
      <c r="A269" s="261" t="s">
        <v>559</v>
      </c>
      <c r="B269" s="246"/>
      <c r="C269" s="246"/>
      <c r="D269" s="246"/>
      <c r="E269" s="249"/>
      <c r="F269" s="856" t="s">
        <v>80</v>
      </c>
      <c r="G269" s="246"/>
      <c r="H269" s="246"/>
      <c r="I269" s="246"/>
      <c r="J269" s="246"/>
      <c r="K269" s="246"/>
      <c r="L269" s="246"/>
      <c r="M269" s="246"/>
      <c r="N269" s="246"/>
      <c r="O269" s="246"/>
      <c r="P269" s="246"/>
      <c r="Q269" s="148"/>
      <c r="R269" s="246"/>
      <c r="S269" s="246"/>
      <c r="T269" s="246"/>
      <c r="U269" s="246"/>
      <c r="V269" s="246"/>
      <c r="W269" s="148"/>
      <c r="X269" s="246"/>
      <c r="Y269" s="246"/>
      <c r="Z269" s="246"/>
      <c r="AA269" s="246"/>
      <c r="AB269" s="246"/>
      <c r="AC269" s="148">
        <f t="shared" si="20"/>
        <v>0</v>
      </c>
      <c r="AD269" s="246"/>
      <c r="AE269" s="246"/>
      <c r="AF269" s="246"/>
      <c r="AG269" s="246"/>
      <c r="AH269" s="340"/>
      <c r="AI269" s="342"/>
      <c r="AJ269" s="330"/>
    </row>
    <row r="270" spans="1:36" ht="25.5">
      <c r="A270" s="51" t="s">
        <v>560</v>
      </c>
      <c r="B270" s="246"/>
      <c r="C270" s="246"/>
      <c r="D270" s="246"/>
      <c r="E270" s="249"/>
      <c r="F270" s="856" t="s">
        <v>80</v>
      </c>
      <c r="G270" s="246"/>
      <c r="H270" s="246"/>
      <c r="I270" s="246"/>
      <c r="J270" s="246"/>
      <c r="K270" s="246"/>
      <c r="L270" s="246"/>
      <c r="M270" s="246"/>
      <c r="N270" s="246"/>
      <c r="O270" s="246"/>
      <c r="P270" s="246"/>
      <c r="Q270" s="148"/>
      <c r="R270" s="246"/>
      <c r="S270" s="246"/>
      <c r="T270" s="246"/>
      <c r="U270" s="246"/>
      <c r="V270" s="246"/>
      <c r="W270" s="148"/>
      <c r="X270" s="246"/>
      <c r="Y270" s="246"/>
      <c r="Z270" s="246"/>
      <c r="AA270" s="246"/>
      <c r="AB270" s="246"/>
      <c r="AC270" s="148">
        <f t="shared" si="20"/>
        <v>0</v>
      </c>
      <c r="AD270" s="246"/>
      <c r="AE270" s="246"/>
      <c r="AF270" s="246"/>
      <c r="AG270" s="246"/>
      <c r="AH270" s="340"/>
      <c r="AI270" s="342"/>
      <c r="AJ270" s="330"/>
    </row>
    <row r="271" spans="1:36" ht="141">
      <c r="A271" s="51" t="s">
        <v>561</v>
      </c>
      <c r="B271" s="246"/>
      <c r="C271" s="246"/>
      <c r="D271" s="246"/>
      <c r="E271" s="249" t="s">
        <v>562</v>
      </c>
      <c r="F271" s="856" t="s">
        <v>563</v>
      </c>
      <c r="G271" s="246"/>
      <c r="H271" s="246"/>
      <c r="I271" s="246"/>
      <c r="J271" s="246"/>
      <c r="K271" s="246"/>
      <c r="L271" s="379">
        <v>15000</v>
      </c>
      <c r="M271" s="262"/>
      <c r="N271" s="262"/>
      <c r="O271" s="262"/>
      <c r="P271" s="262"/>
      <c r="Q271" s="380">
        <f>SUM(L271:P271)</f>
        <v>15000</v>
      </c>
      <c r="R271" s="262"/>
      <c r="S271" s="262"/>
      <c r="T271" s="262"/>
      <c r="U271" s="262"/>
      <c r="V271" s="262"/>
      <c r="W271" s="148"/>
      <c r="X271" s="262"/>
      <c r="Y271" s="262"/>
      <c r="Z271" s="262"/>
      <c r="AA271" s="262"/>
      <c r="AB271" s="262"/>
      <c r="AC271" s="148">
        <f t="shared" si="20"/>
        <v>0</v>
      </c>
      <c r="AD271" s="262"/>
      <c r="AE271" s="262"/>
      <c r="AF271" s="262"/>
      <c r="AG271" s="262"/>
      <c r="AH271" s="341"/>
      <c r="AI271" s="342"/>
      <c r="AJ271" s="330"/>
    </row>
    <row r="272" spans="1:36">
      <c r="A272" s="263" t="s">
        <v>564</v>
      </c>
      <c r="B272" s="246"/>
      <c r="C272" s="246"/>
      <c r="D272" s="246"/>
      <c r="E272" s="249"/>
      <c r="F272" s="856"/>
      <c r="G272" s="246"/>
      <c r="H272" s="246"/>
      <c r="I272" s="246"/>
      <c r="J272" s="246"/>
      <c r="K272" s="246"/>
      <c r="L272" s="246"/>
      <c r="M272" s="246"/>
      <c r="N272" s="246"/>
      <c r="O272" s="246"/>
      <c r="P272" s="246"/>
      <c r="Q272" s="148"/>
      <c r="R272" s="246"/>
      <c r="S272" s="246"/>
      <c r="T272" s="246"/>
      <c r="U272" s="246"/>
      <c r="V272" s="246"/>
      <c r="W272" s="148"/>
      <c r="X272" s="246"/>
      <c r="Y272" s="246"/>
      <c r="Z272" s="246"/>
      <c r="AA272" s="246"/>
      <c r="AB272" s="246"/>
      <c r="AC272" s="148">
        <f t="shared" si="20"/>
        <v>0</v>
      </c>
      <c r="AD272" s="246"/>
      <c r="AE272" s="246"/>
      <c r="AF272" s="246"/>
      <c r="AG272" s="246"/>
      <c r="AH272" s="340"/>
      <c r="AI272" s="342"/>
      <c r="AJ272" s="330"/>
    </row>
    <row r="273" spans="1:42">
      <c r="A273" s="259" t="s">
        <v>565</v>
      </c>
      <c r="B273" s="246"/>
      <c r="C273" s="246"/>
      <c r="D273" s="246"/>
      <c r="E273" s="249"/>
      <c r="F273" s="90"/>
      <c r="G273" s="246"/>
      <c r="H273" s="246"/>
      <c r="I273" s="246"/>
      <c r="J273" s="246"/>
      <c r="K273" s="246"/>
      <c r="L273" s="246"/>
      <c r="M273" s="246"/>
      <c r="N273" s="246"/>
      <c r="O273" s="246"/>
      <c r="P273" s="246"/>
      <c r="Q273" s="148"/>
      <c r="R273" s="246"/>
      <c r="S273" s="246"/>
      <c r="T273" s="246"/>
      <c r="U273" s="246"/>
      <c r="V273" s="246"/>
      <c r="W273" s="148"/>
      <c r="X273" s="246"/>
      <c r="Y273" s="246"/>
      <c r="Z273" s="246"/>
      <c r="AA273" s="246"/>
      <c r="AB273" s="246"/>
      <c r="AC273" s="148">
        <f t="shared" si="20"/>
        <v>0</v>
      </c>
      <c r="AD273" s="246"/>
      <c r="AE273" s="246"/>
      <c r="AF273" s="246"/>
      <c r="AG273" s="246"/>
      <c r="AH273" s="340"/>
      <c r="AI273" s="342"/>
      <c r="AJ273" s="330"/>
    </row>
    <row r="274" spans="1:42" ht="25.5">
      <c r="A274" s="51" t="s">
        <v>566</v>
      </c>
      <c r="B274" s="246"/>
      <c r="C274" s="246"/>
      <c r="D274" s="246"/>
      <c r="E274" s="249"/>
      <c r="F274" s="90"/>
      <c r="G274" s="246"/>
      <c r="H274" s="246"/>
      <c r="I274" s="246"/>
      <c r="J274" s="246"/>
      <c r="K274" s="246"/>
      <c r="L274" s="381">
        <v>1307.6859999999999</v>
      </c>
      <c r="M274" s="246"/>
      <c r="N274" s="246"/>
      <c r="O274" s="246"/>
      <c r="P274" s="246"/>
      <c r="Q274" s="437">
        <f>SUM(L274:P274)</f>
        <v>1307.6859999999999</v>
      </c>
      <c r="R274" s="381">
        <v>1307.6859999999999</v>
      </c>
      <c r="S274" s="262"/>
      <c r="T274" s="262"/>
      <c r="U274" s="262"/>
      <c r="V274" s="262"/>
      <c r="W274" s="370">
        <f>SUM(R274:V274)</f>
        <v>1307.6859999999999</v>
      </c>
      <c r="X274" s="436">
        <v>1307.6859999999999</v>
      </c>
      <c r="Y274" s="262"/>
      <c r="Z274" s="262"/>
      <c r="AA274" s="262"/>
      <c r="AB274" s="262"/>
      <c r="AC274" s="439">
        <f>SUM(X274:AB274)</f>
        <v>1307.6859999999999</v>
      </c>
      <c r="AD274" s="381">
        <v>1307.6859999999999</v>
      </c>
      <c r="AE274" s="262"/>
      <c r="AF274" s="262"/>
      <c r="AG274" s="262"/>
      <c r="AH274" s="341"/>
      <c r="AI274" s="440">
        <f>SUM(AD274:AH274)</f>
        <v>1307.6859999999999</v>
      </c>
      <c r="AJ274" s="330"/>
    </row>
    <row r="275" spans="1:42" ht="409.6">
      <c r="A275" s="51" t="s">
        <v>571</v>
      </c>
      <c r="B275" s="246"/>
      <c r="C275" s="246"/>
      <c r="D275" s="246"/>
      <c r="E275" s="249" t="s">
        <v>498</v>
      </c>
      <c r="F275" s="856" t="s">
        <v>567</v>
      </c>
      <c r="G275" s="246"/>
      <c r="H275" s="246"/>
      <c r="I275" s="246"/>
      <c r="J275" s="246"/>
      <c r="K275" s="246"/>
      <c r="L275" s="246"/>
      <c r="M275" s="246"/>
      <c r="N275" s="246"/>
      <c r="O275" s="246"/>
      <c r="P275" s="246"/>
      <c r="Q275" s="148"/>
      <c r="R275" s="246"/>
      <c r="S275" s="246"/>
      <c r="T275" s="246"/>
      <c r="U275" s="246"/>
      <c r="V275" s="246"/>
      <c r="W275" s="246"/>
      <c r="X275" s="246"/>
      <c r="Y275" s="246"/>
      <c r="Z275" s="246"/>
      <c r="AA275" s="246"/>
      <c r="AB275" s="246"/>
      <c r="AC275" s="246"/>
      <c r="AD275" s="246"/>
      <c r="AE275" s="246"/>
      <c r="AF275" s="246"/>
      <c r="AG275" s="246"/>
      <c r="AH275" s="340"/>
      <c r="AI275" s="342"/>
      <c r="AJ275" s="330"/>
    </row>
    <row r="276" spans="1:42">
      <c r="A276" s="172" t="s">
        <v>568</v>
      </c>
      <c r="B276" s="309"/>
      <c r="C276" s="309"/>
      <c r="D276" s="309"/>
      <c r="E276" s="310"/>
      <c r="F276" s="309"/>
      <c r="G276" s="309"/>
      <c r="H276" s="309"/>
      <c r="I276" s="309"/>
      <c r="J276" s="309"/>
      <c r="K276" s="309"/>
      <c r="L276" s="311">
        <v>20773</v>
      </c>
      <c r="M276" s="309"/>
      <c r="N276" s="309"/>
      <c r="O276" s="311">
        <v>19900</v>
      </c>
      <c r="P276" s="309"/>
      <c r="Q276" s="312">
        <v>40673</v>
      </c>
      <c r="R276" s="311">
        <v>99115</v>
      </c>
      <c r="S276" s="309"/>
      <c r="T276" s="309"/>
      <c r="U276" s="309"/>
      <c r="V276" s="309"/>
      <c r="W276" s="311">
        <v>99115</v>
      </c>
      <c r="X276" s="311">
        <v>908349</v>
      </c>
      <c r="Y276" s="309"/>
      <c r="Z276" s="309"/>
      <c r="AA276" s="309"/>
      <c r="AB276" s="309"/>
      <c r="AC276" s="311">
        <v>908349</v>
      </c>
      <c r="AD276" s="311">
        <v>1106125</v>
      </c>
      <c r="AE276" s="309"/>
      <c r="AF276" s="309"/>
      <c r="AG276" s="309"/>
      <c r="AH276" s="347"/>
      <c r="AI276" s="348">
        <v>1106125</v>
      </c>
      <c r="AJ276" s="337">
        <v>2154262</v>
      </c>
    </row>
    <row r="277" spans="1:42">
      <c r="A277" s="880" t="s">
        <v>724</v>
      </c>
      <c r="B277" s="431"/>
      <c r="C277" s="431"/>
      <c r="D277" s="431"/>
      <c r="E277" s="432"/>
      <c r="F277" s="431"/>
      <c r="G277" s="431"/>
      <c r="H277" s="431"/>
      <c r="I277" s="431"/>
      <c r="J277" s="431"/>
      <c r="K277" s="431"/>
      <c r="L277" s="435">
        <f>SUM(L224:L275)</f>
        <v>45623.686000000002</v>
      </c>
      <c r="M277" s="435">
        <f t="shared" ref="M277:AH277" si="21">SUM(M224:M275)</f>
        <v>0</v>
      </c>
      <c r="N277" s="435">
        <f t="shared" si="21"/>
        <v>0</v>
      </c>
      <c r="O277" s="435">
        <f t="shared" si="21"/>
        <v>19900</v>
      </c>
      <c r="P277" s="435">
        <f t="shared" si="21"/>
        <v>0</v>
      </c>
      <c r="Q277" s="435">
        <f>SUM(Q224:Q275)</f>
        <v>65523.686000000002</v>
      </c>
      <c r="R277" s="435">
        <f>SUM(R224:R275)</f>
        <v>143316.416</v>
      </c>
      <c r="S277" s="435">
        <f t="shared" si="21"/>
        <v>0</v>
      </c>
      <c r="T277" s="435">
        <f t="shared" si="21"/>
        <v>0</v>
      </c>
      <c r="U277" s="435">
        <f t="shared" si="21"/>
        <v>0</v>
      </c>
      <c r="V277" s="435">
        <f t="shared" si="21"/>
        <v>0</v>
      </c>
      <c r="W277" s="435">
        <f t="shared" si="21"/>
        <v>143316.416</v>
      </c>
      <c r="X277" s="435">
        <f t="shared" si="21"/>
        <v>908350.61621999997</v>
      </c>
      <c r="Y277" s="435">
        <f t="shared" si="21"/>
        <v>0</v>
      </c>
      <c r="Z277" s="435">
        <f t="shared" si="21"/>
        <v>0</v>
      </c>
      <c r="AA277" s="435">
        <f t="shared" si="21"/>
        <v>0</v>
      </c>
      <c r="AB277" s="435">
        <f t="shared" si="21"/>
        <v>0</v>
      </c>
      <c r="AC277" s="435">
        <f t="shared" si="21"/>
        <v>908350.61621999997</v>
      </c>
      <c r="AD277" s="435">
        <f>SUM(AD224:AD275)</f>
        <v>1106126.6133000001</v>
      </c>
      <c r="AE277" s="435">
        <f t="shared" si="21"/>
        <v>0</v>
      </c>
      <c r="AF277" s="435">
        <f t="shared" si="21"/>
        <v>0</v>
      </c>
      <c r="AG277" s="435">
        <f t="shared" si="21"/>
        <v>0</v>
      </c>
      <c r="AH277" s="435">
        <f t="shared" si="21"/>
        <v>0</v>
      </c>
      <c r="AI277" s="435">
        <f>SUM(AI224:AI275)</f>
        <v>1106126.6133000001</v>
      </c>
      <c r="AJ277" s="435">
        <f>SUM(AI277+AC277+W277+Q277)</f>
        <v>2223317.3315200005</v>
      </c>
      <c r="AK277" s="433"/>
    </row>
    <row r="278" spans="1:42">
      <c r="A278" s="295"/>
      <c r="B278" s="431"/>
      <c r="C278" s="431"/>
      <c r="D278" s="431"/>
      <c r="E278" s="432"/>
      <c r="F278" s="431"/>
      <c r="G278" s="431"/>
      <c r="H278" s="431"/>
      <c r="I278" s="431"/>
      <c r="J278" s="431"/>
      <c r="K278" s="431"/>
      <c r="L278" s="433"/>
      <c r="M278" s="431"/>
      <c r="N278" s="431"/>
      <c r="O278" s="433"/>
      <c r="P278" s="431"/>
      <c r="Q278" s="434">
        <f>SUM(L277:P277)</f>
        <v>65523.686000000002</v>
      </c>
      <c r="R278" s="433"/>
      <c r="S278" s="431"/>
      <c r="T278" s="431"/>
      <c r="U278" s="431"/>
      <c r="V278" s="431"/>
      <c r="W278" s="433"/>
      <c r="X278" s="433"/>
      <c r="Y278" s="431"/>
      <c r="Z278" s="431"/>
      <c r="AA278" s="431"/>
      <c r="AB278" s="431"/>
      <c r="AC278" s="433"/>
      <c r="AD278" s="433"/>
      <c r="AE278" s="431"/>
      <c r="AF278" s="431"/>
      <c r="AG278" s="431"/>
      <c r="AH278" s="431"/>
      <c r="AI278" s="422"/>
      <c r="AJ278" s="422"/>
    </row>
    <row r="279" spans="1:42">
      <c r="A279" s="295"/>
      <c r="B279" s="296"/>
      <c r="C279" s="296"/>
      <c r="D279" s="296"/>
      <c r="E279" s="297"/>
      <c r="F279" s="296"/>
      <c r="G279" s="296"/>
      <c r="H279" s="296"/>
      <c r="I279" s="296"/>
      <c r="J279" s="296"/>
      <c r="K279" s="296"/>
      <c r="L279" s="296"/>
      <c r="M279" s="296"/>
      <c r="N279" s="296"/>
      <c r="O279" s="296"/>
      <c r="P279" s="296"/>
      <c r="Q279" s="157"/>
      <c r="R279" s="296"/>
      <c r="S279" s="296"/>
      <c r="T279" s="296"/>
      <c r="U279" s="296"/>
      <c r="V279" s="296"/>
      <c r="W279" s="296"/>
      <c r="X279" s="296"/>
      <c r="Y279" s="296"/>
      <c r="Z279" s="296"/>
      <c r="AA279" s="296"/>
      <c r="AB279" s="296"/>
      <c r="AC279" s="296"/>
      <c r="AD279" s="296"/>
      <c r="AE279" s="296"/>
      <c r="AF279" s="296"/>
      <c r="AG279" s="296"/>
      <c r="AH279" s="296"/>
    </row>
    <row r="280" spans="1:42" ht="25.5">
      <c r="A280" s="295" t="s">
        <v>723</v>
      </c>
      <c r="B280" s="296"/>
      <c r="C280" s="296"/>
      <c r="D280" s="296"/>
      <c r="E280" s="297"/>
      <c r="F280" s="296"/>
      <c r="G280" s="296"/>
      <c r="H280" s="296"/>
      <c r="I280" s="296"/>
      <c r="J280" s="296"/>
      <c r="K280" s="296"/>
      <c r="L280" s="296"/>
      <c r="M280" s="296"/>
      <c r="N280" s="296"/>
      <c r="O280" s="296"/>
      <c r="P280" s="296"/>
      <c r="Q280" s="157"/>
      <c r="R280" s="296"/>
      <c r="S280" s="296"/>
      <c r="T280" s="296"/>
      <c r="U280" s="296"/>
      <c r="V280" s="296"/>
      <c r="W280" s="296"/>
      <c r="X280" s="296"/>
      <c r="Y280" s="296"/>
      <c r="Z280" s="296"/>
      <c r="AA280" s="296"/>
      <c r="AB280" s="296"/>
      <c r="AC280" s="296"/>
      <c r="AD280" s="296"/>
      <c r="AE280" s="296"/>
      <c r="AF280" s="296"/>
      <c r="AG280" s="296"/>
      <c r="AH280" s="296"/>
    </row>
    <row r="282" spans="1:42" ht="46.5" customHeight="1">
      <c r="A282" s="1078" t="s">
        <v>572</v>
      </c>
      <c r="B282" s="1078" t="s">
        <v>0</v>
      </c>
      <c r="C282" s="1078" t="s">
        <v>573</v>
      </c>
      <c r="D282" s="1081" t="s">
        <v>5</v>
      </c>
      <c r="E282" s="1082"/>
      <c r="F282" s="1078" t="s">
        <v>22</v>
      </c>
      <c r="G282" s="1083" t="s">
        <v>211</v>
      </c>
      <c r="H282" s="1083" t="s">
        <v>212</v>
      </c>
      <c r="I282" s="1083" t="s">
        <v>574</v>
      </c>
      <c r="L282" s="1047" t="s">
        <v>575</v>
      </c>
      <c r="M282" s="1048"/>
      <c r="N282" s="1048"/>
      <c r="O282" s="1048"/>
      <c r="P282" s="1048"/>
      <c r="Q282" s="1049"/>
      <c r="R282" s="1047" t="s">
        <v>575</v>
      </c>
      <c r="S282" s="1048"/>
      <c r="T282" s="1048"/>
      <c r="U282" s="1048"/>
      <c r="V282" s="1048"/>
      <c r="W282" s="1049"/>
      <c r="X282" s="1047" t="s">
        <v>575</v>
      </c>
      <c r="Y282" s="1048"/>
      <c r="Z282" s="1048"/>
      <c r="AA282" s="1048"/>
      <c r="AB282" s="1048"/>
      <c r="AC282" s="1049"/>
      <c r="AD282" s="1047" t="s">
        <v>575</v>
      </c>
      <c r="AE282" s="1048"/>
      <c r="AF282" s="1048"/>
      <c r="AG282" s="1048"/>
      <c r="AH282" s="1048"/>
      <c r="AI282" s="1049"/>
      <c r="AJ282" s="848" t="s">
        <v>575</v>
      </c>
    </row>
    <row r="283" spans="1:42" ht="15" customHeight="1">
      <c r="A283" s="1079"/>
      <c r="B283" s="1079"/>
      <c r="C283" s="1079"/>
      <c r="D283" s="1073" t="s">
        <v>576</v>
      </c>
      <c r="E283" s="1073" t="s">
        <v>6</v>
      </c>
      <c r="F283" s="1079"/>
      <c r="G283" s="1083"/>
      <c r="H283" s="1083"/>
      <c r="I283" s="1083"/>
      <c r="L283" s="1050" t="s">
        <v>12</v>
      </c>
      <c r="M283" s="1051"/>
      <c r="N283" s="1051"/>
      <c r="O283" s="1051"/>
      <c r="P283" s="1051"/>
      <c r="Q283" s="1052"/>
      <c r="R283" s="1050" t="s">
        <v>13</v>
      </c>
      <c r="S283" s="1051"/>
      <c r="T283" s="1051"/>
      <c r="U283" s="1051"/>
      <c r="V283" s="1051"/>
      <c r="W283" s="1052"/>
      <c r="X283" s="1050" t="s">
        <v>14</v>
      </c>
      <c r="Y283" s="1051"/>
      <c r="Z283" s="1051"/>
      <c r="AA283" s="1051"/>
      <c r="AB283" s="1051"/>
      <c r="AC283" s="1052"/>
      <c r="AD283" s="1050" t="s">
        <v>15</v>
      </c>
      <c r="AE283" s="1051"/>
      <c r="AF283" s="1051"/>
      <c r="AG283" s="1051"/>
      <c r="AH283" s="1051"/>
      <c r="AI283" s="1052"/>
      <c r="AJ283" s="848" t="s">
        <v>577</v>
      </c>
    </row>
    <row r="284" spans="1:42" ht="49.5" customHeight="1">
      <c r="A284" s="1080"/>
      <c r="B284" s="1080"/>
      <c r="C284" s="1080"/>
      <c r="D284" s="1074"/>
      <c r="E284" s="1074"/>
      <c r="F284" s="1080"/>
      <c r="G284" s="1083"/>
      <c r="H284" s="1083"/>
      <c r="I284" s="1083"/>
      <c r="L284" s="869" t="s">
        <v>1</v>
      </c>
      <c r="M284" s="869" t="s">
        <v>9</v>
      </c>
      <c r="N284" s="869" t="s">
        <v>3</v>
      </c>
      <c r="O284" s="869" t="s">
        <v>17</v>
      </c>
      <c r="P284" s="869" t="s">
        <v>19</v>
      </c>
      <c r="Q284" s="869" t="s">
        <v>4</v>
      </c>
      <c r="R284" s="869" t="s">
        <v>1</v>
      </c>
      <c r="S284" s="869" t="s">
        <v>9</v>
      </c>
      <c r="T284" s="869" t="s">
        <v>3</v>
      </c>
      <c r="U284" s="869" t="s">
        <v>17</v>
      </c>
      <c r="V284" s="869" t="s">
        <v>19</v>
      </c>
      <c r="W284" s="869" t="s">
        <v>4</v>
      </c>
      <c r="X284" s="869" t="s">
        <v>1</v>
      </c>
      <c r="Y284" s="869" t="s">
        <v>9</v>
      </c>
      <c r="Z284" s="869" t="s">
        <v>285</v>
      </c>
      <c r="AA284" s="869" t="s">
        <v>17</v>
      </c>
      <c r="AB284" s="869" t="s">
        <v>19</v>
      </c>
      <c r="AC284" s="869" t="s">
        <v>4</v>
      </c>
      <c r="AD284" s="869" t="s">
        <v>1</v>
      </c>
      <c r="AE284" s="869" t="s">
        <v>9</v>
      </c>
      <c r="AF284" s="869" t="s">
        <v>3</v>
      </c>
      <c r="AG284" s="869" t="s">
        <v>17</v>
      </c>
      <c r="AH284" s="869" t="s">
        <v>19</v>
      </c>
      <c r="AI284" s="869" t="s">
        <v>4</v>
      </c>
      <c r="AJ284" s="869" t="s">
        <v>577</v>
      </c>
    </row>
    <row r="285" spans="1:42">
      <c r="A285" s="845"/>
      <c r="B285" s="845" t="s">
        <v>33</v>
      </c>
      <c r="C285" s="269" t="s">
        <v>34</v>
      </c>
      <c r="D285" s="269" t="s">
        <v>45</v>
      </c>
      <c r="E285" s="847" t="s">
        <v>35</v>
      </c>
      <c r="F285" s="845" t="s">
        <v>36</v>
      </c>
      <c r="G285" s="845" t="s">
        <v>37</v>
      </c>
      <c r="H285" s="845" t="s">
        <v>38</v>
      </c>
      <c r="I285" s="845" t="s">
        <v>39</v>
      </c>
      <c r="L285" s="11" t="s">
        <v>40</v>
      </c>
      <c r="M285" s="11" t="s">
        <v>41</v>
      </c>
      <c r="N285" s="11" t="s">
        <v>221</v>
      </c>
      <c r="O285" s="11" t="s">
        <v>222</v>
      </c>
      <c r="P285" s="11" t="s">
        <v>223</v>
      </c>
      <c r="Q285" s="11" t="s">
        <v>224</v>
      </c>
      <c r="R285" s="11" t="s">
        <v>225</v>
      </c>
      <c r="S285" s="11" t="s">
        <v>578</v>
      </c>
      <c r="T285" s="11" t="s">
        <v>227</v>
      </c>
      <c r="U285" s="11" t="s">
        <v>286</v>
      </c>
      <c r="V285" s="11" t="s">
        <v>229</v>
      </c>
      <c r="W285" s="11" t="s">
        <v>230</v>
      </c>
      <c r="X285" s="11" t="s">
        <v>231</v>
      </c>
      <c r="Y285" s="11" t="s">
        <v>232</v>
      </c>
      <c r="Z285" s="11" t="s">
        <v>233</v>
      </c>
      <c r="AA285" s="11" t="s">
        <v>234</v>
      </c>
      <c r="AB285" s="11" t="s">
        <v>235</v>
      </c>
      <c r="AC285" s="11" t="s">
        <v>236</v>
      </c>
      <c r="AD285" s="11" t="s">
        <v>237</v>
      </c>
      <c r="AE285" s="11" t="s">
        <v>238</v>
      </c>
      <c r="AF285" s="11" t="s">
        <v>239</v>
      </c>
      <c r="AG285" s="11" t="s">
        <v>240</v>
      </c>
      <c r="AH285" s="11" t="s">
        <v>241</v>
      </c>
      <c r="AI285" s="11" t="s">
        <v>242</v>
      </c>
      <c r="AJ285" s="271" t="s">
        <v>243</v>
      </c>
    </row>
    <row r="286" spans="1:42">
      <c r="A286" s="272" t="s">
        <v>287</v>
      </c>
      <c r="B286" s="273"/>
      <c r="C286" s="273"/>
      <c r="D286" s="274"/>
      <c r="E286" s="274"/>
      <c r="F286" s="58"/>
      <c r="G286" s="273"/>
      <c r="H286" s="273"/>
      <c r="I286" s="273"/>
      <c r="L286" s="11"/>
      <c r="M286" s="11"/>
      <c r="N286" s="11"/>
      <c r="O286" s="11"/>
      <c r="P286" s="11"/>
      <c r="Q286" s="11"/>
      <c r="R286" s="275"/>
      <c r="S286" s="275"/>
      <c r="T286" s="275"/>
      <c r="U286" s="275"/>
      <c r="V286" s="275"/>
      <c r="W286" s="275"/>
      <c r="X286" s="275"/>
      <c r="Y286" s="275"/>
      <c r="Z286" s="275"/>
      <c r="AA286" s="275"/>
      <c r="AB286" s="275"/>
      <c r="AC286" s="275"/>
      <c r="AD286" s="275"/>
      <c r="AE286" s="275"/>
      <c r="AF286" s="275"/>
      <c r="AG286" s="275"/>
      <c r="AH286" s="275"/>
      <c r="AI286" s="275"/>
      <c r="AJ286" s="275"/>
    </row>
    <row r="287" spans="1:42" ht="26.25">
      <c r="A287" s="276" t="s">
        <v>579</v>
      </c>
      <c r="B287" s="273"/>
      <c r="C287" s="273"/>
      <c r="D287" s="274"/>
      <c r="E287" s="274"/>
      <c r="F287" s="58"/>
      <c r="G287" s="273"/>
      <c r="H287" s="273"/>
      <c r="I287" s="273"/>
      <c r="L287" s="275"/>
      <c r="M287" s="275"/>
      <c r="N287" s="275"/>
      <c r="O287" s="275"/>
      <c r="P287" s="275"/>
      <c r="Q287" s="275"/>
      <c r="R287" s="275"/>
      <c r="S287" s="275"/>
      <c r="T287" s="275"/>
      <c r="U287" s="275"/>
      <c r="V287" s="275"/>
      <c r="W287" s="275"/>
      <c r="X287" s="275"/>
      <c r="Y287" s="275"/>
      <c r="Z287" s="275"/>
      <c r="AA287" s="275"/>
      <c r="AB287" s="275"/>
      <c r="AC287" s="275"/>
      <c r="AD287" s="275"/>
      <c r="AE287" s="275"/>
      <c r="AF287" s="275"/>
      <c r="AG287" s="275"/>
      <c r="AH287" s="275"/>
      <c r="AI287" s="275"/>
      <c r="AJ287" s="275"/>
      <c r="AK287" s="401">
        <f t="shared" ref="AK287:AP287" si="22">AD287+X287+R287+L287</f>
        <v>0</v>
      </c>
      <c r="AL287" s="401">
        <f t="shared" si="22"/>
        <v>0</v>
      </c>
      <c r="AM287" s="401">
        <f t="shared" si="22"/>
        <v>0</v>
      </c>
      <c r="AN287" s="401">
        <f t="shared" si="22"/>
        <v>0</v>
      </c>
      <c r="AO287" s="401">
        <f t="shared" si="22"/>
        <v>0</v>
      </c>
      <c r="AP287" s="401">
        <f t="shared" si="22"/>
        <v>0</v>
      </c>
    </row>
    <row r="288" spans="1:42">
      <c r="A288" s="277" t="s">
        <v>580</v>
      </c>
      <c r="B288" s="273"/>
      <c r="C288" s="273"/>
      <c r="D288" s="274"/>
      <c r="E288" s="274"/>
      <c r="F288" s="58"/>
      <c r="G288" s="273"/>
      <c r="H288" s="273"/>
      <c r="I288" s="273"/>
      <c r="L288" s="275"/>
      <c r="M288" s="275"/>
      <c r="N288" s="275"/>
      <c r="O288" s="275"/>
      <c r="P288" s="275"/>
      <c r="Q288" s="275"/>
      <c r="R288" s="275"/>
      <c r="S288" s="275"/>
      <c r="T288" s="275"/>
      <c r="U288" s="275"/>
      <c r="V288" s="275"/>
      <c r="W288" s="275"/>
      <c r="X288" s="275"/>
      <c r="Y288" s="275"/>
      <c r="Z288" s="275"/>
      <c r="AA288" s="275"/>
      <c r="AB288" s="275"/>
      <c r="AC288" s="275"/>
      <c r="AD288" s="275"/>
      <c r="AE288" s="275"/>
      <c r="AF288" s="275"/>
      <c r="AG288" s="275"/>
      <c r="AH288" s="275"/>
      <c r="AI288" s="275"/>
      <c r="AJ288" s="275"/>
      <c r="AK288" s="401">
        <f t="shared" ref="AK288:AK335" si="23">AD288+X288+R288+L288</f>
        <v>0</v>
      </c>
      <c r="AL288" s="401">
        <f t="shared" ref="AL288:AL336" si="24">AE288+Y288+S288+M288</f>
        <v>0</v>
      </c>
      <c r="AM288" s="401">
        <f t="shared" ref="AM288:AM336" si="25">AF288+Z288+T288+N288</f>
        <v>0</v>
      </c>
      <c r="AN288" s="401">
        <f t="shared" ref="AN288:AN336" si="26">AG288+AA288+U288+O288</f>
        <v>0</v>
      </c>
      <c r="AO288" s="401">
        <f t="shared" ref="AO288:AO336" si="27">AH288+AB288+V288+P288</f>
        <v>0</v>
      </c>
      <c r="AP288" s="401">
        <f t="shared" ref="AP288:AP336" si="28">AI288+AC288+W288+Q288</f>
        <v>0</v>
      </c>
    </row>
    <row r="289" spans="1:42">
      <c r="A289" s="277" t="s">
        <v>581</v>
      </c>
      <c r="B289" s="273"/>
      <c r="C289" s="273"/>
      <c r="D289" s="274"/>
      <c r="E289" s="274"/>
      <c r="F289" s="58"/>
      <c r="G289" s="273"/>
      <c r="H289" s="273"/>
      <c r="I289" s="273"/>
      <c r="L289" s="275"/>
      <c r="M289" s="275"/>
      <c r="N289" s="275"/>
      <c r="O289" s="275"/>
      <c r="P289" s="275"/>
      <c r="Q289" s="275"/>
      <c r="R289" s="275"/>
      <c r="S289" s="275"/>
      <c r="T289" s="275"/>
      <c r="U289" s="275"/>
      <c r="V289" s="275"/>
      <c r="W289" s="275"/>
      <c r="X289" s="275"/>
      <c r="Y289" s="275"/>
      <c r="Z289" s="275"/>
      <c r="AA289" s="275"/>
      <c r="AB289" s="275"/>
      <c r="AC289" s="275"/>
      <c r="AD289" s="275"/>
      <c r="AE289" s="275"/>
      <c r="AF289" s="275"/>
      <c r="AG289" s="275"/>
      <c r="AH289" s="275"/>
      <c r="AI289" s="275"/>
      <c r="AJ289" s="275"/>
      <c r="AK289" s="401">
        <f t="shared" si="23"/>
        <v>0</v>
      </c>
      <c r="AL289" s="401">
        <f t="shared" si="24"/>
        <v>0</v>
      </c>
      <c r="AM289" s="401">
        <f t="shared" si="25"/>
        <v>0</v>
      </c>
      <c r="AN289" s="401">
        <f t="shared" si="26"/>
        <v>0</v>
      </c>
      <c r="AO289" s="401">
        <f t="shared" si="27"/>
        <v>0</v>
      </c>
      <c r="AP289" s="401">
        <f t="shared" si="28"/>
        <v>0</v>
      </c>
    </row>
    <row r="290" spans="1:42">
      <c r="A290" s="278" t="s">
        <v>16</v>
      </c>
      <c r="B290" s="279"/>
      <c r="C290" s="279"/>
      <c r="D290" s="279"/>
      <c r="E290" s="279"/>
      <c r="F290" s="58"/>
      <c r="G290" s="280"/>
      <c r="H290" s="280"/>
      <c r="I290" s="280"/>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401">
        <f t="shared" si="23"/>
        <v>0</v>
      </c>
      <c r="AL290" s="401">
        <f t="shared" si="24"/>
        <v>0</v>
      </c>
      <c r="AM290" s="401">
        <f t="shared" si="25"/>
        <v>0</v>
      </c>
      <c r="AN290" s="401">
        <f t="shared" si="26"/>
        <v>0</v>
      </c>
      <c r="AO290" s="401">
        <f t="shared" si="27"/>
        <v>0</v>
      </c>
      <c r="AP290" s="401">
        <f t="shared" si="28"/>
        <v>0</v>
      </c>
    </row>
    <row r="291" spans="1:42" ht="38.25">
      <c r="A291" s="76" t="s">
        <v>582</v>
      </c>
      <c r="B291" s="279"/>
      <c r="C291" s="279"/>
      <c r="D291" s="279"/>
      <c r="E291" s="279"/>
      <c r="F291" s="58"/>
      <c r="G291" s="280"/>
      <c r="H291" s="280"/>
      <c r="I291" s="280"/>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401">
        <f t="shared" si="23"/>
        <v>0</v>
      </c>
      <c r="AL291" s="401">
        <f t="shared" si="24"/>
        <v>0</v>
      </c>
      <c r="AM291" s="401">
        <f t="shared" si="25"/>
        <v>0</v>
      </c>
      <c r="AN291" s="401">
        <f t="shared" si="26"/>
        <v>0</v>
      </c>
      <c r="AO291" s="401">
        <f t="shared" si="27"/>
        <v>0</v>
      </c>
      <c r="AP291" s="401">
        <f t="shared" si="28"/>
        <v>0</v>
      </c>
    </row>
    <row r="292" spans="1:42">
      <c r="A292" s="281" t="s">
        <v>362</v>
      </c>
      <c r="B292" s="279"/>
      <c r="C292" s="279"/>
      <c r="D292" s="279"/>
      <c r="E292" s="279"/>
      <c r="F292" s="58"/>
      <c r="G292" s="280"/>
      <c r="H292" s="280"/>
      <c r="I292" s="280"/>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c r="AI292" s="63"/>
      <c r="AJ292" s="63"/>
      <c r="AK292" s="401">
        <f t="shared" si="23"/>
        <v>0</v>
      </c>
      <c r="AL292" s="401">
        <f t="shared" si="24"/>
        <v>0</v>
      </c>
      <c r="AM292" s="401">
        <f t="shared" si="25"/>
        <v>0</v>
      </c>
      <c r="AN292" s="401">
        <f t="shared" si="26"/>
        <v>0</v>
      </c>
      <c r="AO292" s="401">
        <f t="shared" si="27"/>
        <v>0</v>
      </c>
      <c r="AP292" s="401">
        <f t="shared" si="28"/>
        <v>0</v>
      </c>
    </row>
    <row r="293" spans="1:42" ht="25.5">
      <c r="A293" s="76" t="s">
        <v>583</v>
      </c>
      <c r="B293" s="58"/>
      <c r="C293" s="58"/>
      <c r="D293" s="279"/>
      <c r="E293" s="279"/>
      <c r="F293" s="58"/>
      <c r="G293" s="280"/>
      <c r="H293" s="280"/>
      <c r="I293" s="280"/>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c r="AI293" s="63"/>
      <c r="AJ293" s="63"/>
      <c r="AK293" s="401">
        <f t="shared" si="23"/>
        <v>0</v>
      </c>
      <c r="AL293" s="401">
        <f t="shared" si="24"/>
        <v>0</v>
      </c>
      <c r="AM293" s="401">
        <f t="shared" si="25"/>
        <v>0</v>
      </c>
      <c r="AN293" s="401">
        <f t="shared" si="26"/>
        <v>0</v>
      </c>
      <c r="AO293" s="401">
        <f t="shared" si="27"/>
        <v>0</v>
      </c>
      <c r="AP293" s="401">
        <f t="shared" si="28"/>
        <v>0</v>
      </c>
    </row>
    <row r="294" spans="1:42">
      <c r="A294" s="277" t="s">
        <v>584</v>
      </c>
      <c r="B294" s="58"/>
      <c r="C294" s="58"/>
      <c r="D294" s="58"/>
      <c r="E294" s="58"/>
      <c r="F294" s="58"/>
      <c r="G294" s="280"/>
      <c r="H294" s="280"/>
      <c r="I294" s="280"/>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401">
        <f t="shared" si="23"/>
        <v>0</v>
      </c>
      <c r="AL294" s="401">
        <f t="shared" si="24"/>
        <v>0</v>
      </c>
      <c r="AM294" s="401">
        <f t="shared" si="25"/>
        <v>0</v>
      </c>
      <c r="AN294" s="401">
        <f t="shared" si="26"/>
        <v>0</v>
      </c>
      <c r="AO294" s="401">
        <f t="shared" si="27"/>
        <v>0</v>
      </c>
      <c r="AP294" s="401">
        <f t="shared" si="28"/>
        <v>0</v>
      </c>
    </row>
    <row r="295" spans="1:42" ht="25.5">
      <c r="A295" s="76" t="s">
        <v>585</v>
      </c>
      <c r="B295" s="58"/>
      <c r="C295" s="58"/>
      <c r="D295" s="58"/>
      <c r="E295" s="58"/>
      <c r="F295" s="58"/>
      <c r="G295" s="280"/>
      <c r="H295" s="280"/>
      <c r="I295" s="280"/>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401">
        <f t="shared" si="23"/>
        <v>0</v>
      </c>
      <c r="AL295" s="401">
        <f t="shared" si="24"/>
        <v>0</v>
      </c>
      <c r="AM295" s="401">
        <f t="shared" si="25"/>
        <v>0</v>
      </c>
      <c r="AN295" s="401">
        <f t="shared" si="26"/>
        <v>0</v>
      </c>
      <c r="AO295" s="401">
        <f t="shared" si="27"/>
        <v>0</v>
      </c>
      <c r="AP295" s="401">
        <f t="shared" si="28"/>
        <v>0</v>
      </c>
    </row>
    <row r="296" spans="1:42">
      <c r="A296" s="277" t="s">
        <v>586</v>
      </c>
      <c r="B296" s="58"/>
      <c r="C296" s="58"/>
      <c r="D296" s="58"/>
      <c r="E296" s="58"/>
      <c r="F296" s="58"/>
      <c r="G296" s="280"/>
      <c r="H296" s="280"/>
      <c r="I296" s="280"/>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c r="AI296" s="63"/>
      <c r="AJ296" s="63"/>
      <c r="AK296" s="401">
        <f t="shared" si="23"/>
        <v>0</v>
      </c>
      <c r="AL296" s="401">
        <f t="shared" si="24"/>
        <v>0</v>
      </c>
      <c r="AM296" s="401">
        <f t="shared" si="25"/>
        <v>0</v>
      </c>
      <c r="AN296" s="401">
        <f t="shared" si="26"/>
        <v>0</v>
      </c>
      <c r="AO296" s="401">
        <f t="shared" si="27"/>
        <v>0</v>
      </c>
      <c r="AP296" s="401">
        <f t="shared" si="28"/>
        <v>0</v>
      </c>
    </row>
    <row r="297" spans="1:42" ht="38.25">
      <c r="A297" s="76" t="s">
        <v>587</v>
      </c>
      <c r="B297" s="58"/>
      <c r="C297" s="58"/>
      <c r="D297" s="58"/>
      <c r="E297" s="58"/>
      <c r="F297" s="58"/>
      <c r="G297" s="280"/>
      <c r="H297" s="280"/>
      <c r="I297" s="280"/>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401">
        <f t="shared" si="23"/>
        <v>0</v>
      </c>
      <c r="AL297" s="401">
        <f t="shared" si="24"/>
        <v>0</v>
      </c>
      <c r="AM297" s="401">
        <f t="shared" si="25"/>
        <v>0</v>
      </c>
      <c r="AN297" s="401">
        <f t="shared" si="26"/>
        <v>0</v>
      </c>
      <c r="AO297" s="401">
        <f t="shared" si="27"/>
        <v>0</v>
      </c>
      <c r="AP297" s="401">
        <f t="shared" si="28"/>
        <v>0</v>
      </c>
    </row>
    <row r="298" spans="1:42">
      <c r="A298" s="278" t="s">
        <v>16</v>
      </c>
      <c r="B298" s="279"/>
      <c r="C298" s="279"/>
      <c r="D298" s="279"/>
      <c r="E298" s="279"/>
      <c r="F298" s="58"/>
      <c r="G298" s="280"/>
      <c r="H298" s="280"/>
      <c r="I298" s="280"/>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c r="AI298" s="63"/>
      <c r="AJ298" s="63"/>
      <c r="AK298" s="401">
        <f t="shared" si="23"/>
        <v>0</v>
      </c>
      <c r="AL298" s="401">
        <f t="shared" si="24"/>
        <v>0</v>
      </c>
      <c r="AM298" s="401">
        <f t="shared" si="25"/>
        <v>0</v>
      </c>
      <c r="AN298" s="401">
        <f t="shared" si="26"/>
        <v>0</v>
      </c>
      <c r="AO298" s="401">
        <f t="shared" si="27"/>
        <v>0</v>
      </c>
      <c r="AP298" s="401">
        <f t="shared" si="28"/>
        <v>0</v>
      </c>
    </row>
    <row r="299" spans="1:42" ht="38.25">
      <c r="A299" s="76" t="s">
        <v>582</v>
      </c>
      <c r="B299" s="279"/>
      <c r="C299" s="279"/>
      <c r="D299" s="279"/>
      <c r="E299" s="279"/>
      <c r="F299" s="58"/>
      <c r="G299" s="280"/>
      <c r="H299" s="280"/>
      <c r="I299" s="280"/>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c r="AI299" s="63"/>
      <c r="AJ299" s="63"/>
      <c r="AK299" s="401">
        <f t="shared" si="23"/>
        <v>0</v>
      </c>
      <c r="AL299" s="401">
        <f t="shared" si="24"/>
        <v>0</v>
      </c>
      <c r="AM299" s="401">
        <f t="shared" si="25"/>
        <v>0</v>
      </c>
      <c r="AN299" s="401">
        <f t="shared" si="26"/>
        <v>0</v>
      </c>
      <c r="AO299" s="401">
        <f t="shared" si="27"/>
        <v>0</v>
      </c>
      <c r="AP299" s="401">
        <f t="shared" si="28"/>
        <v>0</v>
      </c>
    </row>
    <row r="300" spans="1:42">
      <c r="A300" s="281" t="s">
        <v>588</v>
      </c>
      <c r="B300" s="279"/>
      <c r="C300" s="279"/>
      <c r="D300" s="279"/>
      <c r="E300" s="279"/>
      <c r="F300" s="58"/>
      <c r="G300" s="280"/>
      <c r="H300" s="280"/>
      <c r="I300" s="280"/>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63"/>
      <c r="AK300" s="401">
        <f t="shared" si="23"/>
        <v>0</v>
      </c>
      <c r="AL300" s="401">
        <f t="shared" si="24"/>
        <v>0</v>
      </c>
      <c r="AM300" s="401">
        <f t="shared" si="25"/>
        <v>0</v>
      </c>
      <c r="AN300" s="401">
        <f t="shared" si="26"/>
        <v>0</v>
      </c>
      <c r="AO300" s="401">
        <f t="shared" si="27"/>
        <v>0</v>
      </c>
      <c r="AP300" s="401">
        <f t="shared" si="28"/>
        <v>0</v>
      </c>
    </row>
    <row r="301" spans="1:42" ht="25.5">
      <c r="A301" s="76" t="s">
        <v>583</v>
      </c>
      <c r="B301" s="58"/>
      <c r="C301" s="58"/>
      <c r="D301" s="279"/>
      <c r="E301" s="279"/>
      <c r="F301" s="58"/>
      <c r="G301" s="280"/>
      <c r="H301" s="280"/>
      <c r="I301" s="280"/>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63"/>
      <c r="AK301" s="401">
        <f t="shared" si="23"/>
        <v>0</v>
      </c>
      <c r="AL301" s="401">
        <f t="shared" si="24"/>
        <v>0</v>
      </c>
      <c r="AM301" s="401">
        <f t="shared" si="25"/>
        <v>0</v>
      </c>
      <c r="AN301" s="401">
        <f t="shared" si="26"/>
        <v>0</v>
      </c>
      <c r="AO301" s="401">
        <f t="shared" si="27"/>
        <v>0</v>
      </c>
      <c r="AP301" s="401">
        <f t="shared" si="28"/>
        <v>0</v>
      </c>
    </row>
    <row r="302" spans="1:42">
      <c r="A302" s="282" t="s">
        <v>589</v>
      </c>
      <c r="B302" s="283"/>
      <c r="C302" s="283"/>
      <c r="D302" s="283"/>
      <c r="E302" s="283"/>
      <c r="F302" s="77"/>
      <c r="G302" s="284"/>
      <c r="H302" s="284"/>
      <c r="I302" s="284"/>
      <c r="L302" s="285"/>
      <c r="M302" s="285"/>
      <c r="N302" s="285"/>
      <c r="O302" s="285"/>
      <c r="P302" s="285"/>
      <c r="Q302" s="63"/>
      <c r="R302" s="285"/>
      <c r="S302" s="285"/>
      <c r="T302" s="285"/>
      <c r="U302" s="285"/>
      <c r="V302" s="285"/>
      <c r="W302" s="63"/>
      <c r="X302" s="285"/>
      <c r="Y302" s="285"/>
      <c r="Z302" s="285"/>
      <c r="AA302" s="285"/>
      <c r="AB302" s="285"/>
      <c r="AC302" s="63"/>
      <c r="AD302" s="285"/>
      <c r="AE302" s="285"/>
      <c r="AF302" s="285"/>
      <c r="AG302" s="285"/>
      <c r="AH302" s="285"/>
      <c r="AI302" s="63"/>
      <c r="AJ302" s="63"/>
      <c r="AK302" s="401">
        <f t="shared" si="23"/>
        <v>0</v>
      </c>
      <c r="AL302" s="401">
        <f t="shared" si="24"/>
        <v>0</v>
      </c>
      <c r="AM302" s="401">
        <f t="shared" si="25"/>
        <v>0</v>
      </c>
      <c r="AN302" s="401">
        <f t="shared" si="26"/>
        <v>0</v>
      </c>
      <c r="AO302" s="401">
        <f t="shared" si="27"/>
        <v>0</v>
      </c>
      <c r="AP302" s="401">
        <f t="shared" si="28"/>
        <v>0</v>
      </c>
    </row>
    <row r="303" spans="1:42" s="888" customFormat="1" ht="255">
      <c r="A303" s="883" t="s">
        <v>590</v>
      </c>
      <c r="B303" s="884" t="s">
        <v>161</v>
      </c>
      <c r="C303" s="884" t="s">
        <v>591</v>
      </c>
      <c r="D303" s="884" t="s">
        <v>163</v>
      </c>
      <c r="E303" s="884" t="s">
        <v>592</v>
      </c>
      <c r="F303" s="884" t="s">
        <v>156</v>
      </c>
      <c r="G303" s="885" t="s">
        <v>593</v>
      </c>
      <c r="H303" s="886"/>
      <c r="I303" s="887"/>
      <c r="L303" s="889"/>
      <c r="M303" s="889"/>
      <c r="N303" s="889"/>
      <c r="O303" s="889">
        <v>3655.1844843897802</v>
      </c>
      <c r="P303" s="889"/>
      <c r="Q303" s="889">
        <f>SUM(L303:P303)</f>
        <v>3655.1844843897802</v>
      </c>
      <c r="R303" s="889"/>
      <c r="S303" s="889"/>
      <c r="T303" s="889"/>
      <c r="U303" s="889">
        <v>3440.1844843897802</v>
      </c>
      <c r="V303" s="889"/>
      <c r="W303" s="889">
        <f>SUM(R303:V303)</f>
        <v>3440.1844843897802</v>
      </c>
      <c r="X303" s="889"/>
      <c r="Y303" s="889"/>
      <c r="Z303" s="889"/>
      <c r="AA303" s="889"/>
      <c r="AB303" s="889"/>
      <c r="AC303" s="889"/>
      <c r="AD303" s="889"/>
      <c r="AE303" s="889"/>
      <c r="AF303" s="889"/>
      <c r="AG303" s="889"/>
      <c r="AH303" s="889"/>
      <c r="AI303" s="889"/>
      <c r="AJ303" s="889"/>
      <c r="AK303" s="890">
        <f t="shared" si="23"/>
        <v>0</v>
      </c>
      <c r="AL303" s="890">
        <f t="shared" si="24"/>
        <v>0</v>
      </c>
      <c r="AM303" s="890">
        <f t="shared" si="25"/>
        <v>0</v>
      </c>
      <c r="AN303" s="890">
        <f t="shared" si="26"/>
        <v>7095.3689687795604</v>
      </c>
      <c r="AO303" s="890">
        <f t="shared" si="27"/>
        <v>0</v>
      </c>
      <c r="AP303" s="890">
        <f t="shared" si="28"/>
        <v>7095.3689687795604</v>
      </c>
    </row>
    <row r="304" spans="1:42">
      <c r="A304" s="286" t="s">
        <v>594</v>
      </c>
      <c r="B304" s="287"/>
      <c r="C304" s="287"/>
      <c r="D304" s="288"/>
      <c r="E304" s="288"/>
      <c r="F304" s="289"/>
      <c r="G304" s="287"/>
      <c r="H304" s="287"/>
      <c r="I304" s="287"/>
      <c r="L304" s="275"/>
      <c r="M304" s="275"/>
      <c r="N304" s="275"/>
      <c r="O304" s="275"/>
      <c r="P304" s="275"/>
      <c r="Q304" s="63"/>
      <c r="R304" s="275"/>
      <c r="S304" s="275"/>
      <c r="T304" s="275"/>
      <c r="U304" s="275"/>
      <c r="V304" s="275"/>
      <c r="W304" s="63"/>
      <c r="X304" s="275"/>
      <c r="Y304" s="275"/>
      <c r="Z304" s="275"/>
      <c r="AA304" s="275"/>
      <c r="AB304" s="275"/>
      <c r="AC304" s="63"/>
      <c r="AD304" s="275"/>
      <c r="AE304" s="275"/>
      <c r="AF304" s="275"/>
      <c r="AG304" s="275"/>
      <c r="AH304" s="275"/>
      <c r="AI304" s="63"/>
      <c r="AJ304" s="63"/>
      <c r="AK304" s="401">
        <f t="shared" si="23"/>
        <v>0</v>
      </c>
      <c r="AL304" s="401">
        <f t="shared" si="24"/>
        <v>0</v>
      </c>
      <c r="AM304" s="401">
        <f t="shared" si="25"/>
        <v>0</v>
      </c>
      <c r="AN304" s="401">
        <f t="shared" si="26"/>
        <v>0</v>
      </c>
      <c r="AO304" s="401">
        <f t="shared" si="27"/>
        <v>0</v>
      </c>
      <c r="AP304" s="401">
        <f t="shared" si="28"/>
        <v>0</v>
      </c>
    </row>
    <row r="305" spans="1:42" ht="25.5">
      <c r="A305" s="76" t="s">
        <v>595</v>
      </c>
      <c r="B305" s="290"/>
      <c r="C305" s="290"/>
      <c r="D305" s="279"/>
      <c r="E305" s="279"/>
      <c r="F305" s="58"/>
      <c r="G305" s="280"/>
      <c r="H305" s="280"/>
      <c r="I305" s="280"/>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c r="AI305" s="63"/>
      <c r="AJ305" s="63"/>
      <c r="AK305" s="401">
        <f t="shared" si="23"/>
        <v>0</v>
      </c>
      <c r="AL305" s="401">
        <f t="shared" si="24"/>
        <v>0</v>
      </c>
      <c r="AM305" s="401">
        <f t="shared" si="25"/>
        <v>0</v>
      </c>
      <c r="AN305" s="401">
        <f t="shared" si="26"/>
        <v>0</v>
      </c>
      <c r="AO305" s="401">
        <f t="shared" si="27"/>
        <v>0</v>
      </c>
      <c r="AP305" s="401">
        <f t="shared" si="28"/>
        <v>0</v>
      </c>
    </row>
    <row r="306" spans="1:42">
      <c r="A306" s="278" t="s">
        <v>596</v>
      </c>
      <c r="B306" s="280"/>
      <c r="C306" s="280"/>
      <c r="D306" s="279"/>
      <c r="E306" s="279"/>
      <c r="F306" s="58"/>
      <c r="G306" s="280"/>
      <c r="H306" s="280"/>
      <c r="I306" s="280"/>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c r="AI306" s="63"/>
      <c r="AJ306" s="63"/>
      <c r="AK306" s="401">
        <f t="shared" si="23"/>
        <v>0</v>
      </c>
      <c r="AL306" s="401">
        <f t="shared" si="24"/>
        <v>0</v>
      </c>
      <c r="AM306" s="401">
        <f t="shared" si="25"/>
        <v>0</v>
      </c>
      <c r="AN306" s="401">
        <f t="shared" si="26"/>
        <v>0</v>
      </c>
      <c r="AO306" s="401">
        <f t="shared" si="27"/>
        <v>0</v>
      </c>
      <c r="AP306" s="401">
        <f t="shared" si="28"/>
        <v>0</v>
      </c>
    </row>
    <row r="307" spans="1:42" ht="25.5">
      <c r="A307" s="76" t="s">
        <v>597</v>
      </c>
      <c r="B307" s="280"/>
      <c r="C307" s="280"/>
      <c r="D307" s="279"/>
      <c r="E307" s="279"/>
      <c r="F307" s="58"/>
      <c r="G307" s="280"/>
      <c r="H307" s="280"/>
      <c r="I307" s="280"/>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c r="AI307" s="63"/>
      <c r="AJ307" s="63"/>
      <c r="AK307" s="401">
        <f t="shared" si="23"/>
        <v>0</v>
      </c>
      <c r="AL307" s="401">
        <f t="shared" si="24"/>
        <v>0</v>
      </c>
      <c r="AM307" s="401">
        <f t="shared" si="25"/>
        <v>0</v>
      </c>
      <c r="AN307" s="401">
        <f t="shared" si="26"/>
        <v>0</v>
      </c>
      <c r="AO307" s="401">
        <f t="shared" si="27"/>
        <v>0</v>
      </c>
      <c r="AP307" s="401">
        <f t="shared" si="28"/>
        <v>0</v>
      </c>
    </row>
    <row r="308" spans="1:42">
      <c r="A308" s="278" t="s">
        <v>16</v>
      </c>
      <c r="B308" s="279"/>
      <c r="C308" s="279"/>
      <c r="D308" s="279"/>
      <c r="E308" s="279"/>
      <c r="F308" s="58"/>
      <c r="G308" s="280"/>
      <c r="H308" s="280"/>
      <c r="I308" s="280"/>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401">
        <f t="shared" si="23"/>
        <v>0</v>
      </c>
      <c r="AL308" s="401">
        <f t="shared" si="24"/>
        <v>0</v>
      </c>
      <c r="AM308" s="401">
        <f t="shared" si="25"/>
        <v>0</v>
      </c>
      <c r="AN308" s="401">
        <f t="shared" si="26"/>
        <v>0</v>
      </c>
      <c r="AO308" s="401">
        <f t="shared" si="27"/>
        <v>0</v>
      </c>
      <c r="AP308" s="401">
        <f t="shared" si="28"/>
        <v>0</v>
      </c>
    </row>
    <row r="309" spans="1:42" ht="38.25">
      <c r="A309" s="76" t="s">
        <v>582</v>
      </c>
      <c r="B309" s="279"/>
      <c r="C309" s="279"/>
      <c r="D309" s="279"/>
      <c r="E309" s="279"/>
      <c r="F309" s="58"/>
      <c r="G309" s="280"/>
      <c r="H309" s="280"/>
      <c r="I309" s="280"/>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401">
        <f t="shared" si="23"/>
        <v>0</v>
      </c>
      <c r="AL309" s="401">
        <f t="shared" si="24"/>
        <v>0</v>
      </c>
      <c r="AM309" s="401">
        <f t="shared" si="25"/>
        <v>0</v>
      </c>
      <c r="AN309" s="401">
        <f t="shared" si="26"/>
        <v>0</v>
      </c>
      <c r="AO309" s="401">
        <f t="shared" si="27"/>
        <v>0</v>
      </c>
      <c r="AP309" s="401">
        <f t="shared" si="28"/>
        <v>0</v>
      </c>
    </row>
    <row r="310" spans="1:42">
      <c r="A310" s="281" t="s">
        <v>362</v>
      </c>
      <c r="B310" s="279"/>
      <c r="C310" s="279"/>
      <c r="D310" s="279"/>
      <c r="E310" s="279"/>
      <c r="F310" s="58"/>
      <c r="G310" s="280"/>
      <c r="H310" s="280"/>
      <c r="I310" s="280"/>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c r="AI310" s="63"/>
      <c r="AJ310" s="63"/>
      <c r="AK310" s="401">
        <f t="shared" si="23"/>
        <v>0</v>
      </c>
      <c r="AL310" s="401">
        <f t="shared" si="24"/>
        <v>0</v>
      </c>
      <c r="AM310" s="401">
        <f t="shared" si="25"/>
        <v>0</v>
      </c>
      <c r="AN310" s="401">
        <f t="shared" si="26"/>
        <v>0</v>
      </c>
      <c r="AO310" s="401">
        <f t="shared" si="27"/>
        <v>0</v>
      </c>
      <c r="AP310" s="401">
        <f t="shared" si="28"/>
        <v>0</v>
      </c>
    </row>
    <row r="311" spans="1:42" ht="25.5">
      <c r="A311" s="76" t="s">
        <v>583</v>
      </c>
      <c r="B311" s="58"/>
      <c r="C311" s="58"/>
      <c r="D311" s="279"/>
      <c r="E311" s="279"/>
      <c r="F311" s="58"/>
      <c r="G311" s="280"/>
      <c r="H311" s="280"/>
      <c r="I311" s="280"/>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c r="AI311" s="63"/>
      <c r="AJ311" s="63"/>
      <c r="AK311" s="401">
        <f t="shared" si="23"/>
        <v>0</v>
      </c>
      <c r="AL311" s="401">
        <f t="shared" si="24"/>
        <v>0</v>
      </c>
      <c r="AM311" s="401">
        <f t="shared" si="25"/>
        <v>0</v>
      </c>
      <c r="AN311" s="401">
        <f t="shared" si="26"/>
        <v>0</v>
      </c>
      <c r="AO311" s="401">
        <f t="shared" si="27"/>
        <v>0</v>
      </c>
      <c r="AP311" s="401">
        <f t="shared" si="28"/>
        <v>0</v>
      </c>
    </row>
    <row r="312" spans="1:42" ht="344.25">
      <c r="A312" s="76" t="s">
        <v>598</v>
      </c>
      <c r="B312" s="58" t="s">
        <v>161</v>
      </c>
      <c r="C312" s="58" t="s">
        <v>599</v>
      </c>
      <c r="D312" s="4" t="s">
        <v>80</v>
      </c>
      <c r="E312" s="4" t="s">
        <v>155</v>
      </c>
      <c r="F312" s="4" t="s">
        <v>600</v>
      </c>
      <c r="G312" s="4" t="s">
        <v>593</v>
      </c>
      <c r="H312" s="4" t="s">
        <v>601</v>
      </c>
      <c r="I312" s="280"/>
      <c r="L312" s="63">
        <v>250000</v>
      </c>
      <c r="M312" s="63"/>
      <c r="N312" s="63"/>
      <c r="O312" s="63"/>
      <c r="P312" s="63"/>
      <c r="Q312" s="63">
        <f t="shared" ref="Q312:Q320" si="29">SUM(L312:P312)</f>
        <v>250000</v>
      </c>
      <c r="R312" s="63">
        <v>250000</v>
      </c>
      <c r="S312" s="63"/>
      <c r="T312" s="63"/>
      <c r="U312" s="63"/>
      <c r="V312" s="63"/>
      <c r="W312" s="63">
        <f t="shared" ref="W312:W320" si="30">SUM(R312:V312)</f>
        <v>250000</v>
      </c>
      <c r="X312" s="63">
        <v>250000</v>
      </c>
      <c r="Y312" s="63"/>
      <c r="Z312" s="63"/>
      <c r="AA312" s="63"/>
      <c r="AB312" s="63"/>
      <c r="AC312" s="63">
        <f>SUM(X312:AB312)</f>
        <v>250000</v>
      </c>
      <c r="AD312" s="63"/>
      <c r="AE312" s="63"/>
      <c r="AF312" s="63"/>
      <c r="AG312" s="63"/>
      <c r="AH312" s="63"/>
      <c r="AI312" s="63"/>
      <c r="AJ312" s="63">
        <f>SUM(L312+R312+X312+AD312)</f>
        <v>750000</v>
      </c>
      <c r="AK312" s="401">
        <f t="shared" si="23"/>
        <v>750000</v>
      </c>
      <c r="AL312" s="401">
        <f t="shared" si="24"/>
        <v>0</v>
      </c>
      <c r="AM312" s="401">
        <f t="shared" si="25"/>
        <v>0</v>
      </c>
      <c r="AN312" s="401">
        <f t="shared" si="26"/>
        <v>0</v>
      </c>
      <c r="AO312" s="401">
        <f t="shared" si="27"/>
        <v>0</v>
      </c>
      <c r="AP312" s="401">
        <f t="shared" si="28"/>
        <v>750000</v>
      </c>
    </row>
    <row r="313" spans="1:42" s="888" customFormat="1" ht="191.25">
      <c r="A313" s="883" t="s">
        <v>602</v>
      </c>
      <c r="B313" s="884" t="s">
        <v>153</v>
      </c>
      <c r="C313" s="884" t="s">
        <v>172</v>
      </c>
      <c r="D313" s="884" t="s">
        <v>80</v>
      </c>
      <c r="E313" s="884" t="s">
        <v>155</v>
      </c>
      <c r="F313" s="884" t="s">
        <v>156</v>
      </c>
      <c r="G313" s="885" t="s">
        <v>593</v>
      </c>
      <c r="H313" s="885" t="s">
        <v>603</v>
      </c>
      <c r="I313" s="887"/>
      <c r="L313" s="889">
        <v>14848</v>
      </c>
      <c r="M313" s="889"/>
      <c r="N313" s="889"/>
      <c r="O313" s="889"/>
      <c r="P313" s="889"/>
      <c r="Q313" s="889">
        <f t="shared" si="29"/>
        <v>14848</v>
      </c>
      <c r="R313" s="889">
        <v>33027</v>
      </c>
      <c r="S313" s="889"/>
      <c r="T313" s="889"/>
      <c r="U313" s="889"/>
      <c r="V313" s="889"/>
      <c r="W313" s="889">
        <f t="shared" si="30"/>
        <v>33027</v>
      </c>
      <c r="X313" s="889">
        <v>8000</v>
      </c>
      <c r="Y313" s="889"/>
      <c r="Z313" s="889"/>
      <c r="AA313" s="889"/>
      <c r="AB313" s="889"/>
      <c r="AC313" s="889">
        <f t="shared" ref="AC313:AC320" si="31">SUM(X313:AB313)</f>
        <v>8000</v>
      </c>
      <c r="AD313" s="889">
        <v>55000</v>
      </c>
      <c r="AE313" s="889"/>
      <c r="AF313" s="889"/>
      <c r="AG313" s="889"/>
      <c r="AH313" s="889"/>
      <c r="AI313" s="889">
        <f>SUM(AD313:AH313)</f>
        <v>55000</v>
      </c>
      <c r="AJ313" s="889">
        <f t="shared" ref="AJ313:AJ319" si="32">SUM(L313+R313+X313+AD313)</f>
        <v>110875</v>
      </c>
      <c r="AK313" s="890">
        <f t="shared" si="23"/>
        <v>110875</v>
      </c>
      <c r="AL313" s="890">
        <f t="shared" si="24"/>
        <v>0</v>
      </c>
      <c r="AM313" s="890">
        <f t="shared" si="25"/>
        <v>0</v>
      </c>
      <c r="AN313" s="890">
        <f t="shared" si="26"/>
        <v>0</v>
      </c>
      <c r="AO313" s="890">
        <f t="shared" si="27"/>
        <v>0</v>
      </c>
      <c r="AP313" s="890">
        <f t="shared" si="28"/>
        <v>110875</v>
      </c>
    </row>
    <row r="314" spans="1:42" ht="280.5">
      <c r="A314" s="76" t="s">
        <v>604</v>
      </c>
      <c r="B314" s="58" t="s">
        <v>153</v>
      </c>
      <c r="C314" s="58" t="s">
        <v>173</v>
      </c>
      <c r="D314" s="58" t="s">
        <v>80</v>
      </c>
      <c r="E314" s="58" t="s">
        <v>155</v>
      </c>
      <c r="F314" s="58" t="s">
        <v>156</v>
      </c>
      <c r="G314" s="4" t="s">
        <v>593</v>
      </c>
      <c r="H314" s="4" t="s">
        <v>603</v>
      </c>
      <c r="I314" s="280"/>
      <c r="L314" s="63">
        <v>14933</v>
      </c>
      <c r="M314" s="63"/>
      <c r="N314" s="63"/>
      <c r="O314" s="63"/>
      <c r="P314" s="63"/>
      <c r="Q314" s="63">
        <f t="shared" si="29"/>
        <v>14933</v>
      </c>
      <c r="R314" s="63">
        <v>16426</v>
      </c>
      <c r="S314" s="63"/>
      <c r="T314" s="63"/>
      <c r="U314" s="63"/>
      <c r="V314" s="63"/>
      <c r="W314" s="63">
        <f t="shared" si="30"/>
        <v>16426</v>
      </c>
      <c r="X314" s="63">
        <v>18068</v>
      </c>
      <c r="Y314" s="63"/>
      <c r="Z314" s="63"/>
      <c r="AA314" s="63"/>
      <c r="AB314" s="63"/>
      <c r="AC314" s="63">
        <f t="shared" si="31"/>
        <v>18068</v>
      </c>
      <c r="AD314" s="63">
        <v>19875</v>
      </c>
      <c r="AE314" s="63"/>
      <c r="AF314" s="63"/>
      <c r="AG314" s="63"/>
      <c r="AH314" s="63"/>
      <c r="AI314" s="63">
        <f t="shared" ref="AI314:AI320" si="33">SUM(AD314:AH314)</f>
        <v>19875</v>
      </c>
      <c r="AJ314" s="63">
        <f t="shared" si="32"/>
        <v>69302</v>
      </c>
      <c r="AK314" s="401">
        <f t="shared" si="23"/>
        <v>69302</v>
      </c>
      <c r="AL314" s="401">
        <f t="shared" si="24"/>
        <v>0</v>
      </c>
      <c r="AM314" s="401">
        <f t="shared" si="25"/>
        <v>0</v>
      </c>
      <c r="AN314" s="401">
        <f t="shared" si="26"/>
        <v>0</v>
      </c>
      <c r="AO314" s="401">
        <f t="shared" si="27"/>
        <v>0</v>
      </c>
      <c r="AP314" s="401">
        <f t="shared" si="28"/>
        <v>69302</v>
      </c>
    </row>
    <row r="315" spans="1:42">
      <c r="A315" s="281" t="s">
        <v>605</v>
      </c>
      <c r="B315" s="279"/>
      <c r="C315" s="279"/>
      <c r="D315" s="279"/>
      <c r="E315" s="279"/>
      <c r="F315" s="58"/>
      <c r="G315" s="280"/>
      <c r="H315" s="280"/>
      <c r="I315" s="280"/>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c r="AI315" s="63"/>
      <c r="AJ315" s="63"/>
      <c r="AK315" s="401">
        <f t="shared" si="23"/>
        <v>0</v>
      </c>
      <c r="AL315" s="401">
        <f t="shared" si="24"/>
        <v>0</v>
      </c>
      <c r="AM315" s="401">
        <f t="shared" si="25"/>
        <v>0</v>
      </c>
      <c r="AN315" s="401">
        <f t="shared" si="26"/>
        <v>0</v>
      </c>
      <c r="AO315" s="401">
        <f t="shared" si="27"/>
        <v>0</v>
      </c>
      <c r="AP315" s="401">
        <f t="shared" si="28"/>
        <v>0</v>
      </c>
    </row>
    <row r="316" spans="1:42" ht="38.25">
      <c r="A316" s="76" t="s">
        <v>606</v>
      </c>
      <c r="B316" s="58"/>
      <c r="C316" s="58"/>
      <c r="D316" s="279"/>
      <c r="E316" s="279"/>
      <c r="F316" s="58"/>
      <c r="G316" s="280"/>
      <c r="H316" s="280"/>
      <c r="I316" s="280"/>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c r="AI316" s="63"/>
      <c r="AJ316" s="63"/>
      <c r="AK316" s="401">
        <f t="shared" si="23"/>
        <v>0</v>
      </c>
      <c r="AL316" s="401">
        <f t="shared" si="24"/>
        <v>0</v>
      </c>
      <c r="AM316" s="401">
        <f t="shared" si="25"/>
        <v>0</v>
      </c>
      <c r="AN316" s="401">
        <f t="shared" si="26"/>
        <v>0</v>
      </c>
      <c r="AO316" s="401">
        <f t="shared" si="27"/>
        <v>0</v>
      </c>
      <c r="AP316" s="401">
        <f t="shared" si="28"/>
        <v>0</v>
      </c>
    </row>
    <row r="317" spans="1:42" ht="357">
      <c r="A317" s="881" t="s">
        <v>607</v>
      </c>
      <c r="B317" s="58" t="s">
        <v>161</v>
      </c>
      <c r="C317" s="58" t="s">
        <v>182</v>
      </c>
      <c r="D317" s="58" t="s">
        <v>80</v>
      </c>
      <c r="E317" s="58" t="s">
        <v>155</v>
      </c>
      <c r="F317" s="58" t="s">
        <v>156</v>
      </c>
      <c r="G317" s="63" t="s">
        <v>608</v>
      </c>
      <c r="H317" s="4" t="s">
        <v>603</v>
      </c>
      <c r="I317" s="280"/>
      <c r="L317" s="63">
        <v>12469.8</v>
      </c>
      <c r="M317" s="63"/>
      <c r="N317" s="63"/>
      <c r="O317" s="63"/>
      <c r="P317" s="63"/>
      <c r="Q317" s="63">
        <f t="shared" si="29"/>
        <v>12469.8</v>
      </c>
      <c r="R317" s="63">
        <v>148988</v>
      </c>
      <c r="S317" s="63"/>
      <c r="T317" s="63"/>
      <c r="U317" s="63"/>
      <c r="V317" s="63"/>
      <c r="W317" s="63">
        <f t="shared" si="30"/>
        <v>148988</v>
      </c>
      <c r="X317" s="63">
        <v>154670.29999999999</v>
      </c>
      <c r="Y317" s="63"/>
      <c r="Z317" s="63"/>
      <c r="AA317" s="63"/>
      <c r="AB317" s="63"/>
      <c r="AC317" s="63">
        <f>SUM(X317:AB317)</f>
        <v>154670.29999999999</v>
      </c>
      <c r="AD317" s="63">
        <v>159788.29999999999</v>
      </c>
      <c r="AE317" s="63"/>
      <c r="AF317" s="63"/>
      <c r="AG317" s="63"/>
      <c r="AH317" s="63"/>
      <c r="AI317" s="63">
        <f t="shared" si="33"/>
        <v>159788.29999999999</v>
      </c>
      <c r="AJ317" s="63">
        <f t="shared" si="32"/>
        <v>475916.39999999997</v>
      </c>
      <c r="AK317" s="401">
        <f t="shared" si="23"/>
        <v>475916.39999999997</v>
      </c>
      <c r="AL317" s="401">
        <f t="shared" si="24"/>
        <v>0</v>
      </c>
      <c r="AM317" s="401">
        <f t="shared" si="25"/>
        <v>0</v>
      </c>
      <c r="AN317" s="401">
        <f t="shared" si="26"/>
        <v>0</v>
      </c>
      <c r="AO317" s="401">
        <f t="shared" si="27"/>
        <v>0</v>
      </c>
      <c r="AP317" s="401">
        <f t="shared" si="28"/>
        <v>475916.39999999997</v>
      </c>
    </row>
    <row r="318" spans="1:42" ht="140.25">
      <c r="A318" s="881" t="s">
        <v>609</v>
      </c>
      <c r="B318" s="58" t="s">
        <v>161</v>
      </c>
      <c r="C318" s="58" t="s">
        <v>192</v>
      </c>
      <c r="D318" s="58" t="s">
        <v>80</v>
      </c>
      <c r="E318" s="58" t="s">
        <v>155</v>
      </c>
      <c r="F318" s="58" t="s">
        <v>156</v>
      </c>
      <c r="G318" s="63" t="s">
        <v>608</v>
      </c>
      <c r="H318" s="4" t="s">
        <v>603</v>
      </c>
      <c r="I318" s="280"/>
      <c r="L318" s="63">
        <v>4913</v>
      </c>
      <c r="M318" s="63"/>
      <c r="N318" s="63"/>
      <c r="O318" s="63"/>
      <c r="P318" s="63"/>
      <c r="Q318" s="63">
        <f t="shared" si="29"/>
        <v>4913</v>
      </c>
      <c r="R318" s="63">
        <v>5268</v>
      </c>
      <c r="S318" s="63"/>
      <c r="T318" s="63"/>
      <c r="U318" s="63"/>
      <c r="V318" s="63"/>
      <c r="W318" s="63">
        <f t="shared" si="30"/>
        <v>5268</v>
      </c>
      <c r="X318" s="63">
        <v>4318</v>
      </c>
      <c r="Y318" s="63"/>
      <c r="Z318" s="63"/>
      <c r="AA318" s="63"/>
      <c r="AB318" s="63"/>
      <c r="AC318" s="63">
        <f>SUM(X318:AB318)</f>
        <v>4318</v>
      </c>
      <c r="AD318" s="63">
        <v>4318</v>
      </c>
      <c r="AE318" s="63"/>
      <c r="AF318" s="63"/>
      <c r="AG318" s="63"/>
      <c r="AH318" s="63"/>
      <c r="AI318" s="63">
        <f>SUM(AD318:AH318)</f>
        <v>4318</v>
      </c>
      <c r="AJ318" s="63">
        <f>SUM(L318+R318+X318+AD318)</f>
        <v>18817</v>
      </c>
      <c r="AK318" s="401">
        <f t="shared" si="23"/>
        <v>18817</v>
      </c>
      <c r="AL318" s="401">
        <f t="shared" si="24"/>
        <v>0</v>
      </c>
      <c r="AM318" s="401">
        <f t="shared" si="25"/>
        <v>0</v>
      </c>
      <c r="AN318" s="401">
        <f t="shared" si="26"/>
        <v>0</v>
      </c>
      <c r="AO318" s="401">
        <f t="shared" si="27"/>
        <v>0</v>
      </c>
      <c r="AP318" s="401">
        <f t="shared" si="28"/>
        <v>18817</v>
      </c>
    </row>
    <row r="319" spans="1:42" ht="242.25">
      <c r="A319" s="881" t="s">
        <v>610</v>
      </c>
      <c r="B319" s="552" t="s">
        <v>161</v>
      </c>
      <c r="C319" s="552" t="s">
        <v>185</v>
      </c>
      <c r="D319" s="552" t="s">
        <v>163</v>
      </c>
      <c r="E319" s="552" t="s">
        <v>186</v>
      </c>
      <c r="F319" s="552" t="s">
        <v>156</v>
      </c>
      <c r="G319" s="558" t="s">
        <v>608</v>
      </c>
      <c r="H319" s="555" t="s">
        <v>603</v>
      </c>
      <c r="I319" s="554"/>
      <c r="J319" s="562"/>
      <c r="K319" s="562"/>
      <c r="L319" s="558">
        <v>3360.13</v>
      </c>
      <c r="M319" s="558"/>
      <c r="N319" s="558"/>
      <c r="O319" s="558"/>
      <c r="P319" s="558"/>
      <c r="Q319" s="558">
        <f t="shared" si="29"/>
        <v>3360.13</v>
      </c>
      <c r="R319" s="558">
        <v>6840</v>
      </c>
      <c r="S319" s="558"/>
      <c r="T319" s="558"/>
      <c r="U319" s="558"/>
      <c r="V319" s="558"/>
      <c r="W319" s="558">
        <f t="shared" si="30"/>
        <v>6840</v>
      </c>
      <c r="X319" s="558">
        <v>7305</v>
      </c>
      <c r="Y319" s="558"/>
      <c r="Z319" s="558"/>
      <c r="AA319" s="558"/>
      <c r="AB319" s="558"/>
      <c r="AC319" s="558">
        <f t="shared" si="31"/>
        <v>7305</v>
      </c>
      <c r="AD319" s="558">
        <v>8050</v>
      </c>
      <c r="AE319" s="558"/>
      <c r="AF319" s="558"/>
      <c r="AG319" s="558"/>
      <c r="AH319" s="558"/>
      <c r="AI319" s="558">
        <f>SUM(AD319:AH319)</f>
        <v>8050</v>
      </c>
      <c r="AJ319" s="558">
        <f t="shared" si="32"/>
        <v>25555.13</v>
      </c>
      <c r="AK319" s="401">
        <f t="shared" si="23"/>
        <v>25555.13</v>
      </c>
      <c r="AL319" s="401">
        <f t="shared" si="24"/>
        <v>0</v>
      </c>
      <c r="AM319" s="401">
        <f t="shared" si="25"/>
        <v>0</v>
      </c>
      <c r="AN319" s="401">
        <f t="shared" si="26"/>
        <v>0</v>
      </c>
      <c r="AO319" s="401">
        <f t="shared" si="27"/>
        <v>0</v>
      </c>
      <c r="AP319" s="401">
        <f t="shared" si="28"/>
        <v>25555.13</v>
      </c>
    </row>
    <row r="320" spans="1:42" ht="191.25">
      <c r="A320" s="881" t="s">
        <v>611</v>
      </c>
      <c r="B320" s="58" t="s">
        <v>153</v>
      </c>
      <c r="C320" s="58" t="s">
        <v>188</v>
      </c>
      <c r="D320" s="58" t="s">
        <v>80</v>
      </c>
      <c r="E320" s="58" t="s">
        <v>155</v>
      </c>
      <c r="F320" s="58" t="s">
        <v>156</v>
      </c>
      <c r="G320" s="63" t="s">
        <v>608</v>
      </c>
      <c r="H320" s="4" t="s">
        <v>603</v>
      </c>
      <c r="I320" s="280"/>
      <c r="L320" s="63">
        <v>1200</v>
      </c>
      <c r="M320" s="63"/>
      <c r="N320" s="63"/>
      <c r="O320" s="63"/>
      <c r="P320" s="63"/>
      <c r="Q320" s="63">
        <f t="shared" si="29"/>
        <v>1200</v>
      </c>
      <c r="R320" s="63">
        <v>1300</v>
      </c>
      <c r="S320" s="63"/>
      <c r="T320" s="63"/>
      <c r="U320" s="63"/>
      <c r="V320" s="63"/>
      <c r="W320" s="63">
        <f t="shared" si="30"/>
        <v>1300</v>
      </c>
      <c r="X320" s="63">
        <v>1400</v>
      </c>
      <c r="Y320" s="63"/>
      <c r="Z320" s="63"/>
      <c r="AA320" s="63"/>
      <c r="AB320" s="63"/>
      <c r="AC320" s="63">
        <f t="shared" si="31"/>
        <v>1400</v>
      </c>
      <c r="AD320" s="63">
        <v>1500</v>
      </c>
      <c r="AE320" s="63"/>
      <c r="AF320" s="63"/>
      <c r="AG320" s="63"/>
      <c r="AH320" s="63"/>
      <c r="AI320" s="63">
        <f t="shared" si="33"/>
        <v>1500</v>
      </c>
      <c r="AJ320" s="63">
        <f>SUM(L320+R320+X320+AD320)</f>
        <v>5400</v>
      </c>
      <c r="AK320" s="401">
        <f t="shared" si="23"/>
        <v>5400</v>
      </c>
      <c r="AL320" s="401">
        <f t="shared" si="24"/>
        <v>0</v>
      </c>
      <c r="AM320" s="401">
        <f t="shared" si="25"/>
        <v>0</v>
      </c>
      <c r="AN320" s="401">
        <f t="shared" si="26"/>
        <v>0</v>
      </c>
      <c r="AO320" s="401">
        <f t="shared" si="27"/>
        <v>0</v>
      </c>
      <c r="AP320" s="401">
        <f t="shared" si="28"/>
        <v>5400</v>
      </c>
    </row>
    <row r="321" spans="1:42">
      <c r="A321" s="291" t="s">
        <v>612</v>
      </c>
      <c r="B321" s="292"/>
      <c r="C321" s="292"/>
      <c r="D321" s="292"/>
      <c r="E321" s="292"/>
      <c r="F321" s="293"/>
      <c r="G321" s="280"/>
      <c r="H321" s="280"/>
      <c r="I321" s="280"/>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63"/>
      <c r="AK321" s="401">
        <f t="shared" si="23"/>
        <v>0</v>
      </c>
      <c r="AL321" s="401">
        <f t="shared" si="24"/>
        <v>0</v>
      </c>
      <c r="AM321" s="401">
        <f t="shared" si="25"/>
        <v>0</v>
      </c>
      <c r="AN321" s="401">
        <f t="shared" si="26"/>
        <v>0</v>
      </c>
      <c r="AO321" s="401">
        <f t="shared" si="27"/>
        <v>0</v>
      </c>
      <c r="AP321" s="401">
        <f t="shared" si="28"/>
        <v>0</v>
      </c>
    </row>
    <row r="322" spans="1:42" ht="25.5">
      <c r="A322" s="76" t="s">
        <v>613</v>
      </c>
      <c r="B322" s="279"/>
      <c r="C322" s="279"/>
      <c r="D322" s="279"/>
      <c r="E322" s="279"/>
      <c r="F322" s="58"/>
      <c r="G322" s="280"/>
      <c r="H322" s="280"/>
      <c r="I322" s="280"/>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401">
        <f t="shared" si="23"/>
        <v>0</v>
      </c>
      <c r="AL322" s="401">
        <f t="shared" si="24"/>
        <v>0</v>
      </c>
      <c r="AM322" s="401">
        <f t="shared" si="25"/>
        <v>0</v>
      </c>
      <c r="AN322" s="401">
        <f t="shared" si="26"/>
        <v>0</v>
      </c>
      <c r="AO322" s="401">
        <f t="shared" si="27"/>
        <v>0</v>
      </c>
      <c r="AP322" s="401">
        <f t="shared" si="28"/>
        <v>0</v>
      </c>
    </row>
    <row r="323" spans="1:42">
      <c r="A323" s="278" t="s">
        <v>16</v>
      </c>
      <c r="B323" s="279"/>
      <c r="C323" s="279"/>
      <c r="D323" s="279"/>
      <c r="E323" s="279"/>
      <c r="F323" s="58"/>
      <c r="G323" s="280"/>
      <c r="H323" s="280"/>
      <c r="I323" s="280"/>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401">
        <f t="shared" si="23"/>
        <v>0</v>
      </c>
      <c r="AL323" s="401">
        <f t="shared" si="24"/>
        <v>0</v>
      </c>
      <c r="AM323" s="401">
        <f t="shared" si="25"/>
        <v>0</v>
      </c>
      <c r="AN323" s="401">
        <f t="shared" si="26"/>
        <v>0</v>
      </c>
      <c r="AO323" s="401">
        <f t="shared" si="27"/>
        <v>0</v>
      </c>
      <c r="AP323" s="401">
        <f t="shared" si="28"/>
        <v>0</v>
      </c>
    </row>
    <row r="324" spans="1:42" ht="38.25">
      <c r="A324" s="76" t="s">
        <v>582</v>
      </c>
      <c r="B324" s="279"/>
      <c r="C324" s="279"/>
      <c r="D324" s="279"/>
      <c r="E324" s="279"/>
      <c r="F324" s="58"/>
      <c r="G324" s="280"/>
      <c r="H324" s="280"/>
      <c r="I324" s="280"/>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401">
        <f t="shared" si="23"/>
        <v>0</v>
      </c>
      <c r="AL324" s="401">
        <f t="shared" si="24"/>
        <v>0</v>
      </c>
      <c r="AM324" s="401">
        <f t="shared" si="25"/>
        <v>0</v>
      </c>
      <c r="AN324" s="401">
        <f t="shared" si="26"/>
        <v>0</v>
      </c>
      <c r="AO324" s="401">
        <f t="shared" si="27"/>
        <v>0</v>
      </c>
      <c r="AP324" s="401">
        <f t="shared" si="28"/>
        <v>0</v>
      </c>
    </row>
    <row r="325" spans="1:42">
      <c r="A325" s="278" t="s">
        <v>614</v>
      </c>
      <c r="B325" s="279"/>
      <c r="C325" s="279"/>
      <c r="D325" s="279"/>
      <c r="E325" s="279"/>
      <c r="F325" s="58"/>
      <c r="G325" s="280"/>
      <c r="H325" s="280"/>
      <c r="I325" s="280"/>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401">
        <f t="shared" si="23"/>
        <v>0</v>
      </c>
      <c r="AL325" s="401">
        <f t="shared" si="24"/>
        <v>0</v>
      </c>
      <c r="AM325" s="401">
        <f t="shared" si="25"/>
        <v>0</v>
      </c>
      <c r="AN325" s="401">
        <f t="shared" si="26"/>
        <v>0</v>
      </c>
      <c r="AO325" s="401">
        <f t="shared" si="27"/>
        <v>0</v>
      </c>
      <c r="AP325" s="401">
        <f t="shared" si="28"/>
        <v>0</v>
      </c>
    </row>
    <row r="326" spans="1:42" ht="25.5">
      <c r="A326" s="76" t="s">
        <v>583</v>
      </c>
      <c r="B326" s="279"/>
      <c r="C326" s="279"/>
      <c r="D326" s="279"/>
      <c r="E326" s="279"/>
      <c r="F326" s="58"/>
      <c r="G326" s="280"/>
      <c r="H326" s="280"/>
      <c r="I326" s="280"/>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401">
        <f t="shared" si="23"/>
        <v>0</v>
      </c>
      <c r="AL326" s="401">
        <f t="shared" si="24"/>
        <v>0</v>
      </c>
      <c r="AM326" s="401">
        <f t="shared" si="25"/>
        <v>0</v>
      </c>
      <c r="AN326" s="401">
        <f t="shared" si="26"/>
        <v>0</v>
      </c>
      <c r="AO326" s="401">
        <f t="shared" si="27"/>
        <v>0</v>
      </c>
      <c r="AP326" s="401">
        <f t="shared" si="28"/>
        <v>0</v>
      </c>
    </row>
    <row r="327" spans="1:42" s="888" customFormat="1" ht="229.5">
      <c r="A327" s="883" t="s">
        <v>615</v>
      </c>
      <c r="B327" s="884" t="s">
        <v>153</v>
      </c>
      <c r="C327" s="884" t="s">
        <v>190</v>
      </c>
      <c r="D327" s="884" t="s">
        <v>80</v>
      </c>
      <c r="E327" s="884" t="s">
        <v>155</v>
      </c>
      <c r="F327" s="884" t="s">
        <v>156</v>
      </c>
      <c r="G327" s="889" t="s">
        <v>593</v>
      </c>
      <c r="H327" s="885" t="s">
        <v>601</v>
      </c>
      <c r="I327" s="887"/>
      <c r="L327" s="889">
        <v>22000</v>
      </c>
      <c r="M327" s="889"/>
      <c r="N327" s="889"/>
      <c r="O327" s="889"/>
      <c r="P327" s="889"/>
      <c r="Q327" s="889">
        <f>SUM(L327:P327)</f>
        <v>22000</v>
      </c>
      <c r="R327" s="889">
        <v>22000</v>
      </c>
      <c r="S327" s="889"/>
      <c r="T327" s="889"/>
      <c r="U327" s="889"/>
      <c r="V327" s="889"/>
      <c r="W327" s="889">
        <f>SUM(R327:V327)</f>
        <v>22000</v>
      </c>
      <c r="X327" s="889">
        <v>33621</v>
      </c>
      <c r="Y327" s="889"/>
      <c r="Z327" s="889"/>
      <c r="AA327" s="889"/>
      <c r="AB327" s="889"/>
      <c r="AC327" s="889">
        <f>SUM(X327:AB327)</f>
        <v>33621</v>
      </c>
      <c r="AD327" s="889">
        <v>34234</v>
      </c>
      <c r="AE327" s="889"/>
      <c r="AF327" s="889"/>
      <c r="AG327" s="889"/>
      <c r="AH327" s="889"/>
      <c r="AI327" s="889">
        <f>SUM(AD327:AH327)</f>
        <v>34234</v>
      </c>
      <c r="AJ327" s="889">
        <f>SUM(L327+R327+X327+AD327)</f>
        <v>111855</v>
      </c>
      <c r="AK327" s="890">
        <f t="shared" si="23"/>
        <v>111855</v>
      </c>
      <c r="AL327" s="890">
        <f t="shared" si="24"/>
        <v>0</v>
      </c>
      <c r="AM327" s="890">
        <f t="shared" si="25"/>
        <v>0</v>
      </c>
      <c r="AN327" s="890">
        <f t="shared" si="26"/>
        <v>0</v>
      </c>
      <c r="AO327" s="890">
        <f t="shared" si="27"/>
        <v>0</v>
      </c>
      <c r="AP327" s="890">
        <f t="shared" si="28"/>
        <v>111855</v>
      </c>
    </row>
    <row r="328" spans="1:42">
      <c r="A328" s="172" t="s">
        <v>616</v>
      </c>
      <c r="B328" s="58"/>
      <c r="C328" s="58"/>
      <c r="D328" s="58"/>
      <c r="E328" s="58"/>
      <c r="F328" s="77"/>
      <c r="G328" s="63"/>
      <c r="H328" s="4"/>
      <c r="I328" s="280"/>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401">
        <f t="shared" si="23"/>
        <v>0</v>
      </c>
      <c r="AL328" s="401">
        <f t="shared" si="24"/>
        <v>0</v>
      </c>
      <c r="AM328" s="401">
        <f t="shared" si="25"/>
        <v>0</v>
      </c>
      <c r="AN328" s="401">
        <f t="shared" si="26"/>
        <v>0</v>
      </c>
      <c r="AO328" s="401">
        <f t="shared" si="27"/>
        <v>0</v>
      </c>
      <c r="AP328" s="401">
        <f t="shared" si="28"/>
        <v>0</v>
      </c>
    </row>
    <row r="329" spans="1:42" ht="25.5">
      <c r="A329" s="294" t="s">
        <v>617</v>
      </c>
      <c r="B329" s="58"/>
      <c r="C329" s="58"/>
      <c r="D329" s="58"/>
      <c r="E329" s="58"/>
      <c r="F329" s="77"/>
      <c r="G329" s="63"/>
      <c r="H329" s="4"/>
      <c r="I329" s="280"/>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401">
        <f t="shared" si="23"/>
        <v>0</v>
      </c>
      <c r="AL329" s="401">
        <f t="shared" si="24"/>
        <v>0</v>
      </c>
      <c r="AM329" s="401">
        <f t="shared" si="25"/>
        <v>0</v>
      </c>
      <c r="AN329" s="401">
        <f t="shared" si="26"/>
        <v>0</v>
      </c>
      <c r="AO329" s="401">
        <f t="shared" si="27"/>
        <v>0</v>
      </c>
      <c r="AP329" s="401">
        <f t="shared" si="28"/>
        <v>0</v>
      </c>
    </row>
    <row r="330" spans="1:42">
      <c r="A330" s="172" t="s">
        <v>618</v>
      </c>
      <c r="B330" s="58"/>
      <c r="C330" s="58"/>
      <c r="D330" s="58"/>
      <c r="E330" s="58"/>
      <c r="F330" s="77"/>
      <c r="G330" s="63"/>
      <c r="H330" s="4"/>
      <c r="I330" s="280"/>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401">
        <f t="shared" si="23"/>
        <v>0</v>
      </c>
      <c r="AL330" s="401">
        <f t="shared" si="24"/>
        <v>0</v>
      </c>
      <c r="AM330" s="401">
        <f t="shared" si="25"/>
        <v>0</v>
      </c>
      <c r="AN330" s="401">
        <f t="shared" si="26"/>
        <v>0</v>
      </c>
      <c r="AO330" s="401">
        <f t="shared" si="27"/>
        <v>0</v>
      </c>
      <c r="AP330" s="401">
        <f t="shared" si="28"/>
        <v>0</v>
      </c>
    </row>
    <row r="331" spans="1:42" ht="25.5">
      <c r="A331" s="294" t="s">
        <v>619</v>
      </c>
      <c r="B331" s="58"/>
      <c r="C331" s="58"/>
      <c r="D331" s="58"/>
      <c r="E331" s="58"/>
      <c r="F331" s="77"/>
      <c r="G331" s="63"/>
      <c r="H331" s="4"/>
      <c r="I331" s="280"/>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401">
        <f t="shared" si="23"/>
        <v>0</v>
      </c>
      <c r="AL331" s="401">
        <f t="shared" si="24"/>
        <v>0</v>
      </c>
      <c r="AM331" s="401">
        <f t="shared" si="25"/>
        <v>0</v>
      </c>
      <c r="AN331" s="401">
        <f t="shared" si="26"/>
        <v>0</v>
      </c>
      <c r="AO331" s="401">
        <f t="shared" si="27"/>
        <v>0</v>
      </c>
      <c r="AP331" s="401">
        <f t="shared" si="28"/>
        <v>0</v>
      </c>
    </row>
    <row r="332" spans="1:42">
      <c r="A332" s="172" t="s">
        <v>486</v>
      </c>
      <c r="B332" s="58"/>
      <c r="C332" s="58"/>
      <c r="D332" s="58"/>
      <c r="E332" s="58"/>
      <c r="F332" s="77"/>
      <c r="G332" s="63"/>
      <c r="H332" s="4"/>
      <c r="I332" s="280"/>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401">
        <f t="shared" si="23"/>
        <v>0</v>
      </c>
      <c r="AL332" s="401">
        <f t="shared" si="24"/>
        <v>0</v>
      </c>
      <c r="AM332" s="401">
        <f t="shared" si="25"/>
        <v>0</v>
      </c>
      <c r="AN332" s="401">
        <f t="shared" si="26"/>
        <v>0</v>
      </c>
      <c r="AO332" s="401">
        <f t="shared" si="27"/>
        <v>0</v>
      </c>
      <c r="AP332" s="401">
        <f t="shared" si="28"/>
        <v>0</v>
      </c>
    </row>
    <row r="333" spans="1:42" ht="38.25">
      <c r="A333" s="294" t="s">
        <v>582</v>
      </c>
      <c r="B333" s="58"/>
      <c r="C333" s="58"/>
      <c r="D333" s="58"/>
      <c r="E333" s="58"/>
      <c r="F333" s="77"/>
      <c r="G333" s="63"/>
      <c r="H333" s="4"/>
      <c r="I333" s="280"/>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401">
        <f t="shared" si="23"/>
        <v>0</v>
      </c>
      <c r="AL333" s="401">
        <f t="shared" si="24"/>
        <v>0</v>
      </c>
      <c r="AM333" s="401">
        <f t="shared" si="25"/>
        <v>0</v>
      </c>
      <c r="AN333" s="401">
        <f t="shared" si="26"/>
        <v>0</v>
      </c>
      <c r="AO333" s="401">
        <f t="shared" si="27"/>
        <v>0</v>
      </c>
      <c r="AP333" s="401">
        <f t="shared" si="28"/>
        <v>0</v>
      </c>
    </row>
    <row r="334" spans="1:42">
      <c r="A334" s="172" t="s">
        <v>588</v>
      </c>
      <c r="B334" s="58"/>
      <c r="C334" s="58"/>
      <c r="D334" s="58"/>
      <c r="E334" s="58"/>
      <c r="F334" s="77"/>
      <c r="G334" s="63"/>
      <c r="H334" s="4"/>
      <c r="I334" s="280"/>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401">
        <f t="shared" si="23"/>
        <v>0</v>
      </c>
      <c r="AL334" s="401">
        <f t="shared" si="24"/>
        <v>0</v>
      </c>
      <c r="AM334" s="401">
        <f t="shared" si="25"/>
        <v>0</v>
      </c>
      <c r="AN334" s="401">
        <f t="shared" si="26"/>
        <v>0</v>
      </c>
      <c r="AO334" s="401">
        <f t="shared" si="27"/>
        <v>0</v>
      </c>
      <c r="AP334" s="401">
        <f t="shared" si="28"/>
        <v>0</v>
      </c>
    </row>
    <row r="335" spans="1:42" ht="25.5">
      <c r="A335" s="294" t="s">
        <v>620</v>
      </c>
      <c r="B335" s="58"/>
      <c r="C335" s="58"/>
      <c r="D335" s="58"/>
      <c r="E335" s="58"/>
      <c r="F335" s="77"/>
      <c r="G335" s="63"/>
      <c r="H335" s="4"/>
      <c r="I335" s="280"/>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401">
        <f t="shared" si="23"/>
        <v>0</v>
      </c>
      <c r="AL335" s="401">
        <f t="shared" si="24"/>
        <v>0</v>
      </c>
      <c r="AM335" s="401">
        <f t="shared" si="25"/>
        <v>0</v>
      </c>
      <c r="AN335" s="401">
        <f t="shared" si="26"/>
        <v>0</v>
      </c>
      <c r="AO335" s="401">
        <f t="shared" si="27"/>
        <v>0</v>
      </c>
      <c r="AP335" s="401">
        <f t="shared" si="28"/>
        <v>0</v>
      </c>
    </row>
    <row r="336" spans="1:42">
      <c r="A336" s="277" t="s">
        <v>8</v>
      </c>
      <c r="B336" s="277"/>
      <c r="C336" s="277"/>
      <c r="D336" s="277"/>
      <c r="E336" s="277"/>
      <c r="F336" s="277"/>
      <c r="G336" s="307"/>
      <c r="H336" s="307"/>
      <c r="I336" s="307"/>
      <c r="L336" s="308">
        <v>326847</v>
      </c>
      <c r="M336" s="308">
        <f>SUM(M286:M335)</f>
        <v>0</v>
      </c>
      <c r="N336" s="308">
        <f>SUM(N286:N335)</f>
        <v>0</v>
      </c>
      <c r="O336" s="308">
        <v>3655</v>
      </c>
      <c r="P336" s="308">
        <f>SUM(P286:P335)</f>
        <v>0</v>
      </c>
      <c r="Q336" s="308">
        <v>326874</v>
      </c>
      <c r="R336" s="308"/>
      <c r="S336" s="308">
        <f>SUM(S286:S335)</f>
        <v>0</v>
      </c>
      <c r="T336" s="308">
        <f>SUM(T286:T335)</f>
        <v>0</v>
      </c>
      <c r="U336" s="308">
        <v>3440</v>
      </c>
      <c r="V336" s="308">
        <f>SUM(V286:V335)</f>
        <v>0</v>
      </c>
      <c r="W336" s="308">
        <v>483849</v>
      </c>
      <c r="X336" s="308">
        <v>477382</v>
      </c>
      <c r="Y336" s="308">
        <f>SUM(Y286:Y335)</f>
        <v>0</v>
      </c>
      <c r="Z336" s="308">
        <f>SUM(Z286:Z335)</f>
        <v>0</v>
      </c>
      <c r="AA336" s="308">
        <f>SUM(AA286:AA335)</f>
        <v>0</v>
      </c>
      <c r="AB336" s="308">
        <f>SUM(AB286:AB335)</f>
        <v>0</v>
      </c>
      <c r="AC336" s="308">
        <v>477382</v>
      </c>
      <c r="AD336" s="308">
        <v>282765</v>
      </c>
      <c r="AE336" s="308">
        <f>SUM(AE286:AE335)</f>
        <v>0</v>
      </c>
      <c r="AF336" s="308">
        <f>SUM(AF286:AF335)</f>
        <v>0</v>
      </c>
      <c r="AG336" s="308">
        <f>SUM(AG286:AG335)</f>
        <v>0</v>
      </c>
      <c r="AH336" s="308">
        <f>SUM(AH286:AH335)</f>
        <v>0</v>
      </c>
      <c r="AI336" s="308">
        <v>282765</v>
      </c>
      <c r="AJ336" s="308">
        <v>1577938</v>
      </c>
      <c r="AK336" s="401">
        <f>AD336+X336+R336+L336</f>
        <v>1086994</v>
      </c>
      <c r="AL336" s="401">
        <f t="shared" si="24"/>
        <v>0</v>
      </c>
      <c r="AM336" s="401">
        <f t="shared" si="25"/>
        <v>0</v>
      </c>
      <c r="AN336" s="401">
        <f t="shared" si="26"/>
        <v>7095</v>
      </c>
      <c r="AO336" s="401">
        <f t="shared" si="27"/>
        <v>0</v>
      </c>
      <c r="AP336" s="401">
        <f t="shared" si="28"/>
        <v>1570870</v>
      </c>
    </row>
    <row r="337" spans="1:42" s="877" customFormat="1">
      <c r="A337" s="876" t="s">
        <v>724</v>
      </c>
      <c r="B337" s="876"/>
      <c r="C337" s="876"/>
      <c r="D337" s="876"/>
      <c r="E337" s="876"/>
      <c r="F337" s="876"/>
      <c r="G337" s="876"/>
      <c r="H337" s="876"/>
      <c r="I337" s="876"/>
      <c r="L337" s="876">
        <f t="shared" ref="L337:AI337" si="34">SUM(L287:L335)</f>
        <v>323723.93</v>
      </c>
      <c r="M337" s="876">
        <f t="shared" si="34"/>
        <v>0</v>
      </c>
      <c r="N337" s="876">
        <f t="shared" si="34"/>
        <v>0</v>
      </c>
      <c r="O337" s="876">
        <f t="shared" si="34"/>
        <v>3655.1844843897802</v>
      </c>
      <c r="P337" s="876">
        <f t="shared" si="34"/>
        <v>0</v>
      </c>
      <c r="Q337" s="876">
        <f t="shared" si="34"/>
        <v>327379.11448438978</v>
      </c>
      <c r="R337" s="876">
        <f t="shared" si="34"/>
        <v>483849</v>
      </c>
      <c r="S337" s="876">
        <f t="shared" si="34"/>
        <v>0</v>
      </c>
      <c r="T337" s="876">
        <f t="shared" si="34"/>
        <v>0</v>
      </c>
      <c r="U337" s="876">
        <f t="shared" si="34"/>
        <v>3440.1844843897802</v>
      </c>
      <c r="V337" s="876">
        <f t="shared" si="34"/>
        <v>0</v>
      </c>
      <c r="W337" s="876">
        <f t="shared" si="34"/>
        <v>487289.18448438979</v>
      </c>
      <c r="X337" s="876">
        <f t="shared" si="34"/>
        <v>477382.3</v>
      </c>
      <c r="Y337" s="876">
        <f t="shared" si="34"/>
        <v>0</v>
      </c>
      <c r="Z337" s="876">
        <f t="shared" si="34"/>
        <v>0</v>
      </c>
      <c r="AA337" s="876">
        <f t="shared" si="34"/>
        <v>0</v>
      </c>
      <c r="AB337" s="876">
        <f t="shared" si="34"/>
        <v>0</v>
      </c>
      <c r="AC337" s="876">
        <f t="shared" si="34"/>
        <v>477382.3</v>
      </c>
      <c r="AD337" s="876">
        <f t="shared" si="34"/>
        <v>282765.3</v>
      </c>
      <c r="AE337" s="876">
        <f t="shared" si="34"/>
        <v>0</v>
      </c>
      <c r="AF337" s="876">
        <f t="shared" si="34"/>
        <v>0</v>
      </c>
      <c r="AG337" s="876">
        <f t="shared" si="34"/>
        <v>0</v>
      </c>
      <c r="AH337" s="876">
        <f t="shared" si="34"/>
        <v>0</v>
      </c>
      <c r="AI337" s="876">
        <f t="shared" si="34"/>
        <v>282765.3</v>
      </c>
      <c r="AJ337" s="876">
        <f>SUM(AI337+AC337+W337+Q337)</f>
        <v>1574815.8989687795</v>
      </c>
      <c r="AK337" s="877">
        <f t="shared" ref="AK337:AP337" si="35">SUM(AK286:AK335)</f>
        <v>1567720.5299999998</v>
      </c>
      <c r="AL337" s="877">
        <f t="shared" si="35"/>
        <v>0</v>
      </c>
      <c r="AM337" s="877">
        <f t="shared" si="35"/>
        <v>0</v>
      </c>
      <c r="AN337" s="877">
        <f t="shared" si="35"/>
        <v>7095.3689687795604</v>
      </c>
      <c r="AO337" s="877">
        <f t="shared" si="35"/>
        <v>0</v>
      </c>
      <c r="AP337" s="877">
        <f t="shared" si="35"/>
        <v>1574815.8989687795</v>
      </c>
    </row>
    <row r="338" spans="1:42" s="878" customFormat="1">
      <c r="A338" s="878" t="s">
        <v>725</v>
      </c>
      <c r="Q338" s="878">
        <f>SUM(L337:P337)</f>
        <v>327379.11448438978</v>
      </c>
      <c r="W338" s="878">
        <f>SUM(R337:V337)</f>
        <v>487289.18448438979</v>
      </c>
      <c r="AC338" s="878">
        <f>SUM(X337:AB337)</f>
        <v>477382.3</v>
      </c>
      <c r="AI338" s="878">
        <f>SUM(AD337:AH337)</f>
        <v>282765.3</v>
      </c>
    </row>
    <row r="339" spans="1:42" s="874" customFormat="1">
      <c r="J339" s="875"/>
      <c r="K339" s="875"/>
      <c r="L339" s="875"/>
      <c r="M339" s="875"/>
      <c r="N339" s="875"/>
      <c r="O339" s="875"/>
      <c r="P339" s="875"/>
      <c r="Q339" s="875"/>
      <c r="R339" s="875"/>
      <c r="S339" s="875"/>
      <c r="T339" s="875"/>
      <c r="U339" s="875"/>
      <c r="V339" s="875"/>
      <c r="W339" s="875"/>
      <c r="X339" s="875"/>
      <c r="Y339" s="875"/>
      <c r="Z339" s="875"/>
      <c r="AA339" s="875"/>
      <c r="AB339" s="875"/>
      <c r="AC339" s="875"/>
      <c r="AD339" s="875"/>
      <c r="AE339" s="875"/>
      <c r="AF339" s="875"/>
      <c r="AG339" s="875"/>
      <c r="AH339" s="875"/>
      <c r="AI339" s="875"/>
    </row>
    <row r="340" spans="1:42" s="874" customFormat="1">
      <c r="J340" s="875"/>
      <c r="K340" s="875"/>
      <c r="L340" s="875"/>
      <c r="M340" s="875"/>
      <c r="N340" s="875"/>
      <c r="O340" s="875"/>
      <c r="P340" s="875"/>
      <c r="Q340" s="875"/>
      <c r="R340" s="875"/>
      <c r="S340" s="875"/>
      <c r="T340" s="875"/>
      <c r="U340" s="875"/>
      <c r="V340" s="875"/>
      <c r="W340" s="875"/>
      <c r="X340" s="875"/>
      <c r="Y340" s="875"/>
      <c r="Z340" s="875"/>
      <c r="AA340" s="875"/>
      <c r="AB340" s="875"/>
      <c r="AC340" s="875"/>
      <c r="AD340" s="875"/>
      <c r="AE340" s="875"/>
      <c r="AF340" s="875"/>
      <c r="AG340" s="875"/>
      <c r="AH340" s="875"/>
      <c r="AI340" s="875"/>
      <c r="AP340" s="879">
        <f>SUM(AK337:AO337)</f>
        <v>1574815.8989687792</v>
      </c>
    </row>
    <row r="341" spans="1:42" s="874" customFormat="1">
      <c r="J341" s="875"/>
      <c r="K341" s="875"/>
      <c r="L341" s="875"/>
      <c r="M341" s="875"/>
      <c r="N341" s="875"/>
      <c r="O341" s="875"/>
      <c r="P341" s="875"/>
      <c r="Q341" s="875"/>
      <c r="R341" s="875"/>
      <c r="S341" s="875"/>
      <c r="T341" s="875"/>
      <c r="U341" s="875"/>
      <c r="V341" s="875"/>
      <c r="W341" s="875"/>
      <c r="X341" s="875"/>
      <c r="Y341" s="875"/>
      <c r="Z341" s="875"/>
      <c r="AA341" s="875"/>
      <c r="AB341" s="875"/>
      <c r="AC341" s="875"/>
      <c r="AD341" s="875"/>
      <c r="AE341" s="875"/>
      <c r="AF341" s="875"/>
      <c r="AG341" s="875"/>
      <c r="AH341" s="875"/>
      <c r="AI341" s="875"/>
    </row>
    <row r="342" spans="1:42">
      <c r="A342" s="882" t="s">
        <v>727</v>
      </c>
    </row>
    <row r="343" spans="1:42">
      <c r="A343" s="888" t="s">
        <v>728</v>
      </c>
    </row>
    <row r="344" spans="1:42">
      <c r="A344" s="959" t="s">
        <v>729</v>
      </c>
      <c r="O344" s="401">
        <f>SUM(L337:P337)</f>
        <v>327379.11448438978</v>
      </c>
      <c r="U344" s="401"/>
      <c r="AA344" s="401">
        <f>SUM(X337:AB337)</f>
        <v>477382.3</v>
      </c>
      <c r="AG344" s="401">
        <f>SUM(AD337:AH337)</f>
        <v>282765.3</v>
      </c>
    </row>
    <row r="346" spans="1:42">
      <c r="A346" s="442" t="s">
        <v>693</v>
      </c>
      <c r="AH346" s="443">
        <f>SUM(AJ337+AJ277+AJ213+AJ187+AJ133+AJ93+AJ66+AK30)</f>
        <v>27651550.620488778</v>
      </c>
    </row>
    <row r="347" spans="1:42">
      <c r="L347" s="335"/>
      <c r="M347" s="869" t="s">
        <v>1</v>
      </c>
      <c r="N347" s="869" t="s">
        <v>9</v>
      </c>
      <c r="O347" s="869" t="s">
        <v>218</v>
      </c>
      <c r="P347" s="869" t="s">
        <v>17</v>
      </c>
      <c r="Q347" s="869" t="s">
        <v>19</v>
      </c>
      <c r="R347" s="869" t="s">
        <v>18</v>
      </c>
    </row>
    <row r="348" spans="1:42">
      <c r="L348" s="501">
        <v>2013</v>
      </c>
      <c r="M348" s="500">
        <f>SUM(L30+L66+L93+L133+L187+L213+L277+L337)</f>
        <v>7472395.6159999995</v>
      </c>
      <c r="N348" s="500">
        <f>SUM(M30+M66+M93+M133+M187+M213+M277+M337)</f>
        <v>0</v>
      </c>
      <c r="O348" s="500">
        <f>SUM(N30+N66+N93+N133+N187+N213+N277+N337)</f>
        <v>0</v>
      </c>
      <c r="P348" s="500">
        <f>SUM(O30+O66+O93+O133+O187+O213+O277+O337)</f>
        <v>23555.184484389782</v>
      </c>
      <c r="Q348" s="500">
        <f>SUM(P30+P66+P93+P133+P187+P213+P277+P337)</f>
        <v>500</v>
      </c>
      <c r="R348" s="502">
        <f>SUM(M348:Q348)</f>
        <v>7496450.8004843891</v>
      </c>
    </row>
    <row r="349" spans="1:42">
      <c r="L349" s="501">
        <v>2014</v>
      </c>
      <c r="M349" s="500">
        <f>SUM(R30+R66+R93+R133+R187+R213+R277+R337)</f>
        <v>8196106.8660000004</v>
      </c>
      <c r="N349" s="500">
        <f>SUM(S30+S66+S93+S133+S187+S213+S277+S337)</f>
        <v>0</v>
      </c>
      <c r="O349" s="500">
        <f>SUM(T30+T66+T93+T133+T187+T213+T277+T337)</f>
        <v>0</v>
      </c>
      <c r="P349" s="500">
        <f>SUM(U30+U66+U93+U133+U187+U213+U277+U337)</f>
        <v>14940.18448438978</v>
      </c>
      <c r="Q349" s="500">
        <f>SUM(V30+V66+V93+V133+V187+V213+V277+V337)</f>
        <v>500</v>
      </c>
      <c r="R349" s="502">
        <f>SUM(M349:Q349)</f>
        <v>8211547.05048439</v>
      </c>
      <c r="AG349" s="447" t="s">
        <v>694</v>
      </c>
      <c r="AH349" s="443">
        <f>AH346+'Annex A'!I69</f>
        <v>63651033.342831776</v>
      </c>
    </row>
    <row r="350" spans="1:42">
      <c r="L350" s="501">
        <v>2015</v>
      </c>
      <c r="M350" s="500">
        <f>SUM(X30+X66+X93+X133+X187+X213+X277+X337)</f>
        <v>6255859.1362199998</v>
      </c>
      <c r="N350" s="500">
        <f>SUM(Y30+Y66+Y93+Y133+Y187+Y213+Y277+Y337)</f>
        <v>0</v>
      </c>
      <c r="O350" s="500">
        <f>SUM(Z30+Z66+Z93+Z133+Z187+Z213+Z277+Z337)</f>
        <v>0</v>
      </c>
      <c r="P350" s="500">
        <f>SUM(AA30+AA66+AA93+AA133+AA187+AA213+AA277+AA337)</f>
        <v>20500</v>
      </c>
      <c r="Q350" s="500">
        <f>SUM(AB30+AB66+AB93+AB133+AB187+AB213+AB277+AB337)</f>
        <v>500</v>
      </c>
      <c r="R350" s="502">
        <f>SUM(M350:Q350)</f>
        <v>6276859.1362199998</v>
      </c>
      <c r="AG350" t="s">
        <v>695</v>
      </c>
    </row>
    <row r="351" spans="1:42">
      <c r="L351" s="501">
        <v>2016</v>
      </c>
      <c r="M351" s="500">
        <f>SUM(AD30+AD66+AD93+AD133+AD187+AD213+AD277+AD337)</f>
        <v>5623693.6332999999</v>
      </c>
      <c r="N351" s="500">
        <f>SUM(AE30+AE66+AE93+AE133+AE187+AE213+AE277+AE337)</f>
        <v>0</v>
      </c>
      <c r="O351" s="500">
        <f>SUM(AF30+AF66+AF93+AF133+AF187+AF213+AF277+AF337)</f>
        <v>10000</v>
      </c>
      <c r="P351" s="500">
        <f>SUM(AG30+AG66+AG93+AG133+AG187+AG213+AG277+AG337)</f>
        <v>32500</v>
      </c>
      <c r="Q351" s="500">
        <f>SUM(AH30+AH66+AH93+AH133+AH187+AH213+AH277+AH337)</f>
        <v>500</v>
      </c>
      <c r="R351" s="502">
        <f>SUM(M351:Q351)</f>
        <v>5666693.6332999999</v>
      </c>
      <c r="AG351" t="s">
        <v>696</v>
      </c>
    </row>
    <row r="352" spans="1:42">
      <c r="L352" s="501" t="s">
        <v>18</v>
      </c>
      <c r="M352" s="500">
        <f>SUM(M348:M351)</f>
        <v>27548055.25152</v>
      </c>
      <c r="N352" s="500">
        <f>SUM(N348:N351)</f>
        <v>0</v>
      </c>
      <c r="O352" s="500">
        <f>SUM(O348:O351)</f>
        <v>10000</v>
      </c>
      <c r="P352" s="500">
        <f>SUM(P348:P351)</f>
        <v>91495.36896877957</v>
      </c>
      <c r="Q352" s="500">
        <f>SUM(Q348:Q351)</f>
        <v>2000</v>
      </c>
      <c r="R352" s="502">
        <f>SUM(M352:Q352)</f>
        <v>27651550.620488781</v>
      </c>
    </row>
    <row r="353" spans="18:18">
      <c r="R353" s="503">
        <f>SUM(R348:R351)</f>
        <v>27651550.620488778</v>
      </c>
    </row>
    <row r="355" spans="18:18">
      <c r="R355" s="487">
        <f>R352-AH346</f>
        <v>0</v>
      </c>
    </row>
  </sheetData>
  <mergeCells count="225">
    <mergeCell ref="L4:AH4"/>
    <mergeCell ref="F5:F6"/>
    <mergeCell ref="G5:G6"/>
    <mergeCell ref="L5:Q5"/>
    <mergeCell ref="R5:W5"/>
    <mergeCell ref="X5:AC5"/>
    <mergeCell ref="AD5:AH5"/>
    <mergeCell ref="A2:B3"/>
    <mergeCell ref="A4:A6"/>
    <mergeCell ref="D4:D6"/>
    <mergeCell ref="E4:E6"/>
    <mergeCell ref="F4:G4"/>
    <mergeCell ref="H4:H6"/>
    <mergeCell ref="A31:D31"/>
    <mergeCell ref="A32:A34"/>
    <mergeCell ref="B32:B34"/>
    <mergeCell ref="C32:C34"/>
    <mergeCell ref="D32:D34"/>
    <mergeCell ref="E32:E34"/>
    <mergeCell ref="I4:I6"/>
    <mergeCell ref="J4:J6"/>
    <mergeCell ref="K4:K6"/>
    <mergeCell ref="D45:D46"/>
    <mergeCell ref="D53:D55"/>
    <mergeCell ref="E53:E55"/>
    <mergeCell ref="F53:F55"/>
    <mergeCell ref="G53:G55"/>
    <mergeCell ref="H53:H55"/>
    <mergeCell ref="R32:W32"/>
    <mergeCell ref="X32:AC32"/>
    <mergeCell ref="AD32:AH32"/>
    <mergeCell ref="L33:Q33"/>
    <mergeCell ref="R33:W33"/>
    <mergeCell ref="X33:AC33"/>
    <mergeCell ref="AD33:AH33"/>
    <mergeCell ref="F32:G33"/>
    <mergeCell ref="H32:H34"/>
    <mergeCell ref="I32:I34"/>
    <mergeCell ref="J32:J34"/>
    <mergeCell ref="K32:K34"/>
    <mergeCell ref="L32:Q32"/>
    <mergeCell ref="B64:B65"/>
    <mergeCell ref="B69:I69"/>
    <mergeCell ref="A70:A72"/>
    <mergeCell ref="D70:D72"/>
    <mergeCell ref="E70:E72"/>
    <mergeCell ref="F70:G70"/>
    <mergeCell ref="H70:H72"/>
    <mergeCell ref="AA53:AA55"/>
    <mergeCell ref="U53:U55"/>
    <mergeCell ref="V53:V55"/>
    <mergeCell ref="W53:W55"/>
    <mergeCell ref="X53:X55"/>
    <mergeCell ref="Y53:Y55"/>
    <mergeCell ref="Z53:Z55"/>
    <mergeCell ref="O53:O55"/>
    <mergeCell ref="P53:P55"/>
    <mergeCell ref="Q53:Q55"/>
    <mergeCell ref="R53:R55"/>
    <mergeCell ref="S53:S55"/>
    <mergeCell ref="T53:T55"/>
    <mergeCell ref="I53:I55"/>
    <mergeCell ref="J53:J55"/>
    <mergeCell ref="K53:K55"/>
    <mergeCell ref="L70:AH70"/>
    <mergeCell ref="L71:Q71"/>
    <mergeCell ref="R71:W71"/>
    <mergeCell ref="X71:AC71"/>
    <mergeCell ref="AD71:AH71"/>
    <mergeCell ref="I70:I72"/>
    <mergeCell ref="AG53:AG55"/>
    <mergeCell ref="AH53:AH55"/>
    <mergeCell ref="AB53:AB55"/>
    <mergeCell ref="AC53:AC55"/>
    <mergeCell ref="AD53:AD55"/>
    <mergeCell ref="AE53:AE55"/>
    <mergeCell ref="AF53:AF55"/>
    <mergeCell ref="L53:L55"/>
    <mergeCell ref="M53:M55"/>
    <mergeCell ref="N53:N55"/>
    <mergeCell ref="D86:D87"/>
    <mergeCell ref="E86:E89"/>
    <mergeCell ref="F86:F89"/>
    <mergeCell ref="G86:G89"/>
    <mergeCell ref="I86:I89"/>
    <mergeCell ref="J86:J89"/>
    <mergeCell ref="D88:D89"/>
    <mergeCell ref="J70:J72"/>
    <mergeCell ref="K70:K72"/>
    <mergeCell ref="F71:F72"/>
    <mergeCell ref="G71:G72"/>
    <mergeCell ref="Q86:Q89"/>
    <mergeCell ref="P86:P89"/>
    <mergeCell ref="K97:K99"/>
    <mergeCell ref="L97:AH97"/>
    <mergeCell ref="AD98:AH98"/>
    <mergeCell ref="R86:R89"/>
    <mergeCell ref="S86:S89"/>
    <mergeCell ref="T86:T89"/>
    <mergeCell ref="U86:U89"/>
    <mergeCell ref="V86:V89"/>
    <mergeCell ref="K86:K89"/>
    <mergeCell ref="L86:L89"/>
    <mergeCell ref="M86:M89"/>
    <mergeCell ref="N86:N89"/>
    <mergeCell ref="O86:O89"/>
    <mergeCell ref="A98:A99"/>
    <mergeCell ref="F98:F99"/>
    <mergeCell ref="G98:G99"/>
    <mergeCell ref="L98:Q98"/>
    <mergeCell ref="R98:W98"/>
    <mergeCell ref="X98:AC98"/>
    <mergeCell ref="D97:D99"/>
    <mergeCell ref="E97:E99"/>
    <mergeCell ref="F97:G97"/>
    <mergeCell ref="H97:H99"/>
    <mergeCell ref="I97:I99"/>
    <mergeCell ref="J97:J99"/>
    <mergeCell ref="A111:J111"/>
    <mergeCell ref="A112:J112"/>
    <mergeCell ref="A113:J113"/>
    <mergeCell ref="A120:J120"/>
    <mergeCell ref="A121:D121"/>
    <mergeCell ref="A122:J122"/>
    <mergeCell ref="A101:E101"/>
    <mergeCell ref="A102:E102"/>
    <mergeCell ref="A103:J103"/>
    <mergeCell ref="A104:D104"/>
    <mergeCell ref="A105:D105"/>
    <mergeCell ref="A110:E110"/>
    <mergeCell ref="A124:J124"/>
    <mergeCell ref="A125:J125"/>
    <mergeCell ref="A126:J126"/>
    <mergeCell ref="A128:J128"/>
    <mergeCell ref="A137:A139"/>
    <mergeCell ref="B137:B139"/>
    <mergeCell ref="C137:C139"/>
    <mergeCell ref="D137:D139"/>
    <mergeCell ref="E137:E139"/>
    <mergeCell ref="F137:G137"/>
    <mergeCell ref="R192:W192"/>
    <mergeCell ref="X192:AC192"/>
    <mergeCell ref="E191:E193"/>
    <mergeCell ref="F191:G191"/>
    <mergeCell ref="H191:H193"/>
    <mergeCell ref="I191:I193"/>
    <mergeCell ref="J191:J193"/>
    <mergeCell ref="L138:Q138"/>
    <mergeCell ref="F138:F139"/>
    <mergeCell ref="G138:G139"/>
    <mergeCell ref="K191:K193"/>
    <mergeCell ref="L191:AH191"/>
    <mergeCell ref="R138:W138"/>
    <mergeCell ref="X138:AC138"/>
    <mergeCell ref="AD138:AH138"/>
    <mergeCell ref="H137:H139"/>
    <mergeCell ref="I137:I139"/>
    <mergeCell ref="J137:J139"/>
    <mergeCell ref="K137:K139"/>
    <mergeCell ref="L137:Q137"/>
    <mergeCell ref="R137:W137"/>
    <mergeCell ref="X137:AC137"/>
    <mergeCell ref="D191:D193"/>
    <mergeCell ref="A195:E195"/>
    <mergeCell ref="A196:E196"/>
    <mergeCell ref="A197:J197"/>
    <mergeCell ref="A198:D198"/>
    <mergeCell ref="A192:A193"/>
    <mergeCell ref="F192:F193"/>
    <mergeCell ref="G192:G193"/>
    <mergeCell ref="L192:Q192"/>
    <mergeCell ref="K219:K221"/>
    <mergeCell ref="L219:AH219"/>
    <mergeCell ref="F220:F221"/>
    <mergeCell ref="G220:G221"/>
    <mergeCell ref="L220:Q220"/>
    <mergeCell ref="R220:W220"/>
    <mergeCell ref="X220:AC220"/>
    <mergeCell ref="AD220:AH220"/>
    <mergeCell ref="A206:I206"/>
    <mergeCell ref="A207:A209"/>
    <mergeCell ref="A217:J217"/>
    <mergeCell ref="A219:A221"/>
    <mergeCell ref="D219:D221"/>
    <mergeCell ref="E219:E221"/>
    <mergeCell ref="F219:G219"/>
    <mergeCell ref="H219:H221"/>
    <mergeCell ref="I219:I221"/>
    <mergeCell ref="J219:J221"/>
    <mergeCell ref="D283:D284"/>
    <mergeCell ref="E283:E284"/>
    <mergeCell ref="A223:D223"/>
    <mergeCell ref="A224:J224"/>
    <mergeCell ref="A282:A284"/>
    <mergeCell ref="B282:B284"/>
    <mergeCell ref="C282:C284"/>
    <mergeCell ref="D282:E282"/>
    <mergeCell ref="F282:F284"/>
    <mergeCell ref="G282:G284"/>
    <mergeCell ref="H282:H284"/>
    <mergeCell ref="I282:I284"/>
    <mergeCell ref="AD282:AI282"/>
    <mergeCell ref="AD283:AI283"/>
    <mergeCell ref="AK5:AP5"/>
    <mergeCell ref="AQ5:AV5"/>
    <mergeCell ref="L282:Q282"/>
    <mergeCell ref="L283:Q283"/>
    <mergeCell ref="R282:W282"/>
    <mergeCell ref="R283:W283"/>
    <mergeCell ref="X282:AC282"/>
    <mergeCell ref="X283:AC283"/>
    <mergeCell ref="AD137:AH137"/>
    <mergeCell ref="AC86:AC89"/>
    <mergeCell ref="AD86:AD89"/>
    <mergeCell ref="AE86:AE89"/>
    <mergeCell ref="AF86:AF89"/>
    <mergeCell ref="AG86:AG89"/>
    <mergeCell ref="AH86:AH89"/>
    <mergeCell ref="W86:W89"/>
    <mergeCell ref="X86:X89"/>
    <mergeCell ref="Y86:Y89"/>
    <mergeCell ref="Z86:Z89"/>
    <mergeCell ref="AA86:AA89"/>
    <mergeCell ref="AB86:AB89"/>
    <mergeCell ref="AD192:AH192"/>
  </mergeCells>
  <pageMargins left="0.7" right="0.7" top="0.75" bottom="0.75" header="0.3" footer="0.3"/>
  <pageSetup scale="63" orientation="landscape" r:id="rId1"/>
  <rowBreaks count="12" manualBreakCount="12">
    <brk id="10" max="16383" man="1"/>
    <brk id="13" max="16383" man="1"/>
    <brk id="16" max="16383" man="1"/>
    <brk id="20" max="16383" man="1"/>
    <brk id="29" max="47" man="1"/>
    <brk id="66" max="16383" man="1"/>
    <brk id="81" max="47" man="1"/>
    <brk id="94" max="47" man="1"/>
    <brk id="133" max="16383" man="1"/>
    <brk id="187" max="16383" man="1"/>
    <brk id="214" max="16383" man="1"/>
    <brk id="278"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dimension ref="A2:AK353"/>
  <sheetViews>
    <sheetView view="pageBreakPreview" zoomScale="60" workbookViewId="0">
      <pane xSplit="1" ySplit="6" topLeftCell="O283" activePane="bottomRight" state="frozen"/>
      <selection pane="topRight" activeCell="B1" sqref="B1"/>
      <selection pane="bottomLeft" activeCell="A7" sqref="A7"/>
      <selection pane="bottomRight" activeCell="R299" sqref="R299"/>
    </sheetView>
  </sheetViews>
  <sheetFormatPr defaultRowHeight="15"/>
  <cols>
    <col min="1" max="1" width="30.7109375" customWidth="1"/>
    <col min="2" max="2" width="15" customWidth="1"/>
    <col min="3" max="3" width="15.85546875" customWidth="1"/>
    <col min="4" max="4" width="14" customWidth="1"/>
    <col min="5" max="5" width="14.85546875" customWidth="1"/>
    <col min="6" max="6" width="13.140625" customWidth="1"/>
    <col min="7" max="7" width="13.85546875" customWidth="1"/>
    <col min="8" max="8" width="13.28515625" customWidth="1"/>
    <col min="9" max="9" width="16.42578125" customWidth="1"/>
    <col min="10" max="10" width="13.85546875" customWidth="1"/>
    <col min="11" max="11" width="13.140625" customWidth="1"/>
    <col min="12" max="12" width="19.85546875" customWidth="1"/>
    <col min="13" max="13" width="17.28515625" customWidth="1"/>
    <col min="14" max="14" width="13.7109375" customWidth="1"/>
    <col min="15" max="15" width="12.42578125" customWidth="1"/>
    <col min="16" max="16" width="12.7109375" customWidth="1"/>
    <col min="17" max="17" width="21.5703125" customWidth="1"/>
    <col min="18" max="18" width="21.28515625" customWidth="1"/>
    <col min="21" max="21" width="12.28515625" customWidth="1"/>
    <col min="22" max="22" width="11.5703125" customWidth="1"/>
    <col min="23" max="23" width="21.42578125" customWidth="1"/>
    <col min="24" max="24" width="18.85546875" customWidth="1"/>
    <col min="27" max="27" width="12.7109375" customWidth="1"/>
    <col min="28" max="28" width="14.140625" customWidth="1"/>
    <col min="29" max="29" width="18.28515625" customWidth="1"/>
    <col min="30" max="30" width="17.42578125" customWidth="1"/>
    <col min="31" max="32" width="9.140625" customWidth="1"/>
    <col min="33" max="33" width="13.85546875" customWidth="1"/>
    <col min="34" max="34" width="20.42578125" customWidth="1"/>
    <col min="35" max="35" width="17.42578125" customWidth="1"/>
    <col min="36" max="36" width="18.5703125" customWidth="1"/>
    <col min="37" max="37" width="17.5703125" customWidth="1"/>
  </cols>
  <sheetData>
    <row r="2" spans="1:36" s="82" customFormat="1" ht="15.75" customHeight="1">
      <c r="A2" s="1178" t="s">
        <v>209</v>
      </c>
      <c r="B2" s="1178"/>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row>
    <row r="3" spans="1:36" s="82" customFormat="1" ht="15.75">
      <c r="A3" s="1179"/>
      <c r="B3" s="1179"/>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6" s="82" customFormat="1" ht="15.75">
      <c r="A4" s="1084"/>
      <c r="B4" s="105"/>
      <c r="C4" s="105"/>
      <c r="D4" s="1084" t="s">
        <v>0</v>
      </c>
      <c r="E4" s="1084" t="s">
        <v>210</v>
      </c>
      <c r="F4" s="1098" t="s">
        <v>5</v>
      </c>
      <c r="G4" s="1099"/>
      <c r="H4" s="1084" t="s">
        <v>22</v>
      </c>
      <c r="I4" s="1084" t="s">
        <v>211</v>
      </c>
      <c r="J4" s="1084" t="s">
        <v>212</v>
      </c>
      <c r="K4" s="1084" t="s">
        <v>213</v>
      </c>
      <c r="L4" s="1087" t="s">
        <v>214</v>
      </c>
      <c r="M4" s="1088"/>
      <c r="N4" s="1088"/>
      <c r="O4" s="1088"/>
      <c r="P4" s="1088"/>
      <c r="Q4" s="1088"/>
      <c r="R4" s="1088"/>
      <c r="S4" s="1088"/>
      <c r="T4" s="1088"/>
      <c r="U4" s="1088"/>
      <c r="V4" s="1088"/>
      <c r="W4" s="1088"/>
      <c r="X4" s="1088"/>
      <c r="Y4" s="1088"/>
      <c r="Z4" s="1088"/>
      <c r="AA4" s="1088"/>
      <c r="AB4" s="1088"/>
      <c r="AC4" s="1088"/>
      <c r="AD4" s="1088"/>
      <c r="AE4" s="1088"/>
      <c r="AF4" s="1088"/>
      <c r="AG4" s="1088"/>
      <c r="AH4" s="1088"/>
    </row>
    <row r="5" spans="1:36" s="82" customFormat="1" ht="47.25">
      <c r="A5" s="1085"/>
      <c r="B5" s="106" t="s">
        <v>215</v>
      </c>
      <c r="C5" s="106" t="s">
        <v>216</v>
      </c>
      <c r="D5" s="1085"/>
      <c r="E5" s="1085"/>
      <c r="F5" s="1089" t="s">
        <v>217</v>
      </c>
      <c r="G5" s="1089" t="s">
        <v>6</v>
      </c>
      <c r="H5" s="1085"/>
      <c r="I5" s="1085"/>
      <c r="J5" s="1085"/>
      <c r="K5" s="1085"/>
      <c r="L5" s="1091" t="s">
        <v>12</v>
      </c>
      <c r="M5" s="1092"/>
      <c r="N5" s="1092"/>
      <c r="O5" s="1092"/>
      <c r="P5" s="1092"/>
      <c r="Q5" s="1093"/>
      <c r="R5" s="1091" t="s">
        <v>13</v>
      </c>
      <c r="S5" s="1092"/>
      <c r="T5" s="1092"/>
      <c r="U5" s="1092"/>
      <c r="V5" s="1092"/>
      <c r="W5" s="1093"/>
      <c r="X5" s="1091" t="s">
        <v>14</v>
      </c>
      <c r="Y5" s="1092"/>
      <c r="Z5" s="1092"/>
      <c r="AA5" s="1092"/>
      <c r="AB5" s="1092"/>
      <c r="AC5" s="1093"/>
      <c r="AD5" s="1091" t="s">
        <v>15</v>
      </c>
      <c r="AE5" s="1092"/>
      <c r="AF5" s="1092"/>
      <c r="AG5" s="1092"/>
      <c r="AH5" s="1093"/>
      <c r="AI5" s="315" t="s">
        <v>688</v>
      </c>
      <c r="AJ5" s="315" t="s">
        <v>689</v>
      </c>
    </row>
    <row r="6" spans="1:36" s="82" customFormat="1" ht="25.5">
      <c r="A6" s="1086"/>
      <c r="B6" s="107"/>
      <c r="C6" s="107"/>
      <c r="D6" s="1086"/>
      <c r="E6" s="1086"/>
      <c r="F6" s="1090"/>
      <c r="G6" s="1090"/>
      <c r="H6" s="1086"/>
      <c r="I6" s="1086"/>
      <c r="J6" s="1086"/>
      <c r="K6" s="1086"/>
      <c r="L6" s="96" t="s">
        <v>1</v>
      </c>
      <c r="M6" s="96" t="s">
        <v>9</v>
      </c>
      <c r="N6" s="96" t="s">
        <v>218</v>
      </c>
      <c r="O6" s="96" t="s">
        <v>17</v>
      </c>
      <c r="P6" s="96" t="s">
        <v>19</v>
      </c>
      <c r="Q6" s="96" t="s">
        <v>4</v>
      </c>
      <c r="R6" s="96" t="s">
        <v>1</v>
      </c>
      <c r="S6" s="96" t="s">
        <v>2</v>
      </c>
      <c r="T6" s="96" t="s">
        <v>219</v>
      </c>
      <c r="U6" s="96" t="s">
        <v>17</v>
      </c>
      <c r="V6" s="96" t="s">
        <v>19</v>
      </c>
      <c r="W6" s="96" t="s">
        <v>4</v>
      </c>
      <c r="X6" s="96" t="s">
        <v>1</v>
      </c>
      <c r="Y6" s="96" t="s">
        <v>9</v>
      </c>
      <c r="Z6" s="96" t="s">
        <v>218</v>
      </c>
      <c r="AA6" s="96" t="s">
        <v>17</v>
      </c>
      <c r="AB6" s="96" t="s">
        <v>19</v>
      </c>
      <c r="AC6" s="96" t="s">
        <v>4</v>
      </c>
      <c r="AD6" s="96" t="s">
        <v>1</v>
      </c>
      <c r="AE6" s="96" t="s">
        <v>9</v>
      </c>
      <c r="AF6" s="96" t="s">
        <v>219</v>
      </c>
      <c r="AG6" s="96" t="s">
        <v>17</v>
      </c>
      <c r="AH6" s="96" t="s">
        <v>19</v>
      </c>
      <c r="AI6" s="313"/>
      <c r="AJ6" s="316"/>
    </row>
    <row r="7" spans="1:36" s="82" customFormat="1" ht="15.75">
      <c r="A7" s="107"/>
      <c r="B7" s="107" t="s">
        <v>33</v>
      </c>
      <c r="C7" s="107" t="s">
        <v>34</v>
      </c>
      <c r="D7" s="107" t="s">
        <v>45</v>
      </c>
      <c r="E7" s="108" t="s">
        <v>220</v>
      </c>
      <c r="F7" s="107" t="s">
        <v>36</v>
      </c>
      <c r="G7" s="107" t="s">
        <v>37</v>
      </c>
      <c r="H7" s="107" t="s">
        <v>38</v>
      </c>
      <c r="I7" s="107" t="s">
        <v>39</v>
      </c>
      <c r="J7" s="96" t="s">
        <v>40</v>
      </c>
      <c r="K7" s="96" t="s">
        <v>41</v>
      </c>
      <c r="L7" s="96" t="s">
        <v>221</v>
      </c>
      <c r="M7" s="96" t="s">
        <v>222</v>
      </c>
      <c r="N7" s="96" t="s">
        <v>223</v>
      </c>
      <c r="O7" s="96" t="s">
        <v>224</v>
      </c>
      <c r="P7" s="96" t="s">
        <v>225</v>
      </c>
      <c r="Q7" s="96" t="s">
        <v>226</v>
      </c>
      <c r="R7" s="96" t="s">
        <v>227</v>
      </c>
      <c r="S7" s="96" t="s">
        <v>228</v>
      </c>
      <c r="T7" s="96" t="s">
        <v>229</v>
      </c>
      <c r="U7" s="96" t="s">
        <v>230</v>
      </c>
      <c r="V7" s="96" t="s">
        <v>231</v>
      </c>
      <c r="W7" s="96" t="s">
        <v>232</v>
      </c>
      <c r="X7" s="96" t="s">
        <v>233</v>
      </c>
      <c r="Y7" s="96" t="s">
        <v>234</v>
      </c>
      <c r="Z7" s="96" t="s">
        <v>235</v>
      </c>
      <c r="AA7" s="96" t="s">
        <v>236</v>
      </c>
      <c r="AB7" s="96" t="s">
        <v>237</v>
      </c>
      <c r="AC7" s="96" t="s">
        <v>238</v>
      </c>
      <c r="AD7" s="96" t="s">
        <v>239</v>
      </c>
      <c r="AE7" s="96" t="s">
        <v>240</v>
      </c>
      <c r="AF7" s="96" t="s">
        <v>241</v>
      </c>
      <c r="AG7" s="96" t="s">
        <v>242</v>
      </c>
      <c r="AH7" s="96" t="s">
        <v>243</v>
      </c>
      <c r="AI7" s="313"/>
      <c r="AJ7" s="313"/>
    </row>
    <row r="8" spans="1:36" s="82" customFormat="1" ht="25.5">
      <c r="A8" s="90" t="s">
        <v>244</v>
      </c>
      <c r="B8" s="110"/>
      <c r="C8" s="110"/>
      <c r="D8" s="109"/>
      <c r="E8" s="110"/>
      <c r="F8" s="110"/>
      <c r="G8" s="110"/>
      <c r="H8" s="109"/>
      <c r="I8" s="110"/>
      <c r="J8" s="110"/>
      <c r="K8" s="110"/>
      <c r="L8" s="96"/>
      <c r="M8" s="96"/>
      <c r="N8" s="96"/>
      <c r="O8" s="96"/>
      <c r="P8" s="96"/>
      <c r="Q8" s="96"/>
      <c r="R8" s="96"/>
      <c r="S8" s="96"/>
      <c r="T8" s="96"/>
      <c r="U8" s="96"/>
      <c r="V8" s="96"/>
      <c r="W8" s="96"/>
      <c r="X8" s="96"/>
      <c r="Y8" s="96"/>
      <c r="Z8" s="96"/>
      <c r="AA8" s="96"/>
      <c r="AB8" s="96"/>
      <c r="AC8" s="96"/>
      <c r="AD8" s="96"/>
      <c r="AE8" s="96"/>
      <c r="AF8" s="96"/>
      <c r="AG8" s="96"/>
      <c r="AH8" s="96"/>
      <c r="AI8" s="313"/>
      <c r="AJ8" s="313"/>
    </row>
    <row r="9" spans="1:36" s="82" customFormat="1" ht="277.5" customHeight="1">
      <c r="A9" s="4" t="s">
        <v>245</v>
      </c>
      <c r="B9" s="111"/>
      <c r="C9" s="110"/>
      <c r="D9" s="110" t="s">
        <v>209</v>
      </c>
      <c r="E9" s="110"/>
      <c r="F9" s="110"/>
      <c r="G9" s="110"/>
      <c r="H9" s="110" t="s">
        <v>309</v>
      </c>
      <c r="I9" s="110" t="s">
        <v>246</v>
      </c>
      <c r="J9" s="110" t="s">
        <v>247</v>
      </c>
      <c r="K9" s="110"/>
      <c r="L9" s="96"/>
      <c r="M9" s="96"/>
      <c r="N9" s="96"/>
      <c r="O9" s="96"/>
      <c r="P9" s="96"/>
      <c r="Q9" s="396">
        <f>SUM(L9:P9)</f>
        <v>0</v>
      </c>
      <c r="R9" s="96"/>
      <c r="S9" s="96"/>
      <c r="T9" s="96"/>
      <c r="U9" s="96"/>
      <c r="V9" s="96"/>
      <c r="W9" s="398">
        <f>SUM(R9:V9)</f>
        <v>0</v>
      </c>
      <c r="X9" s="96"/>
      <c r="Y9" s="96"/>
      <c r="Z9" s="96"/>
      <c r="AA9" s="96"/>
      <c r="AB9" s="96"/>
      <c r="AC9" s="398">
        <f>SUM(X9:AB9)</f>
        <v>0</v>
      </c>
      <c r="AD9" s="96"/>
      <c r="AE9" s="96"/>
      <c r="AF9" s="96"/>
      <c r="AG9" s="96"/>
      <c r="AH9" s="96"/>
      <c r="AI9" s="399">
        <f>SUM(AD9:AH9)</f>
        <v>0</v>
      </c>
      <c r="AJ9" s="313"/>
    </row>
    <row r="10" spans="1:36" s="82" customFormat="1" ht="164.25" customHeight="1">
      <c r="A10" s="4" t="s">
        <v>248</v>
      </c>
      <c r="B10" s="110"/>
      <c r="C10" s="110"/>
      <c r="D10" s="110" t="s">
        <v>209</v>
      </c>
      <c r="E10" s="110"/>
      <c r="F10" s="110"/>
      <c r="G10" s="110"/>
      <c r="H10" s="110"/>
      <c r="I10" s="110" t="s">
        <v>249</v>
      </c>
      <c r="J10" s="110" t="s">
        <v>247</v>
      </c>
      <c r="K10" s="110"/>
      <c r="L10" s="96"/>
      <c r="M10" s="96"/>
      <c r="N10" s="96"/>
      <c r="O10" s="96"/>
      <c r="P10" s="96"/>
      <c r="Q10" s="396">
        <f t="shared" ref="Q10:Q27" si="0">SUM(L10:P10)</f>
        <v>0</v>
      </c>
      <c r="R10" s="96"/>
      <c r="S10" s="96"/>
      <c r="T10" s="96"/>
      <c r="U10" s="96"/>
      <c r="V10" s="96"/>
      <c r="W10" s="398">
        <f t="shared" ref="W10:W26" si="1">SUM(R10:V10)</f>
        <v>0</v>
      </c>
      <c r="X10" s="96"/>
      <c r="Y10" s="96"/>
      <c r="Z10" s="96"/>
      <c r="AA10" s="96"/>
      <c r="AB10" s="96"/>
      <c r="AC10" s="398">
        <f t="shared" ref="AC10:AC27" si="2">SUM(X10:AB10)</f>
        <v>0</v>
      </c>
      <c r="AD10" s="96"/>
      <c r="AE10" s="96"/>
      <c r="AF10" s="96"/>
      <c r="AG10" s="96"/>
      <c r="AH10" s="96"/>
      <c r="AI10" s="399">
        <f t="shared" ref="AI10:AI27" si="3">SUM(AD10:AH10)</f>
        <v>0</v>
      </c>
      <c r="AJ10" s="313"/>
    </row>
    <row r="11" spans="1:36" s="82" customFormat="1" ht="183.75" customHeight="1">
      <c r="A11" s="4" t="s">
        <v>393</v>
      </c>
      <c r="B11" s="110"/>
      <c r="C11" s="110"/>
      <c r="D11" s="110" t="s">
        <v>209</v>
      </c>
      <c r="E11" s="110"/>
      <c r="F11" s="110"/>
      <c r="G11" s="110"/>
      <c r="H11" s="110" t="s">
        <v>309</v>
      </c>
      <c r="I11" s="110" t="s">
        <v>249</v>
      </c>
      <c r="J11" s="110" t="s">
        <v>250</v>
      </c>
      <c r="K11" s="110"/>
      <c r="L11" s="96"/>
      <c r="M11" s="96"/>
      <c r="N11" s="96"/>
      <c r="O11" s="96"/>
      <c r="P11" s="96"/>
      <c r="Q11" s="396">
        <f t="shared" si="0"/>
        <v>0</v>
      </c>
      <c r="R11" s="96"/>
      <c r="S11" s="96"/>
      <c r="T11" s="96"/>
      <c r="U11" s="96"/>
      <c r="V11" s="96"/>
      <c r="W11" s="398">
        <f t="shared" si="1"/>
        <v>0</v>
      </c>
      <c r="X11" s="96"/>
      <c r="Y11" s="96"/>
      <c r="Z11" s="96"/>
      <c r="AA11" s="96"/>
      <c r="AB11" s="96"/>
      <c r="AC11" s="398">
        <f t="shared" si="2"/>
        <v>0</v>
      </c>
      <c r="AD11" s="96"/>
      <c r="AE11" s="96"/>
      <c r="AF11" s="96"/>
      <c r="AG11" s="96"/>
      <c r="AH11" s="96"/>
      <c r="AI11" s="399">
        <f t="shared" si="3"/>
        <v>0</v>
      </c>
      <c r="AJ11" s="313"/>
    </row>
    <row r="12" spans="1:36" s="82" customFormat="1" ht="190.5" customHeight="1">
      <c r="A12" s="4" t="s">
        <v>394</v>
      </c>
      <c r="B12" s="110"/>
      <c r="C12" s="110"/>
      <c r="D12" s="110" t="s">
        <v>209</v>
      </c>
      <c r="E12" s="110"/>
      <c r="F12" s="110"/>
      <c r="G12" s="110"/>
      <c r="H12" s="110"/>
      <c r="I12" s="110" t="s">
        <v>249</v>
      </c>
      <c r="J12" s="110" t="s">
        <v>251</v>
      </c>
      <c r="K12" s="110"/>
      <c r="L12" s="96"/>
      <c r="M12" s="96"/>
      <c r="N12" s="96"/>
      <c r="O12" s="96"/>
      <c r="P12" s="96"/>
      <c r="Q12" s="396">
        <f t="shared" si="0"/>
        <v>0</v>
      </c>
      <c r="R12" s="96"/>
      <c r="S12" s="96"/>
      <c r="T12" s="96"/>
      <c r="U12" s="96"/>
      <c r="V12" s="96"/>
      <c r="W12" s="398">
        <f t="shared" si="1"/>
        <v>0</v>
      </c>
      <c r="X12" s="96"/>
      <c r="Y12" s="96"/>
      <c r="Z12" s="96"/>
      <c r="AA12" s="96"/>
      <c r="AB12" s="96"/>
      <c r="AC12" s="398">
        <f t="shared" si="2"/>
        <v>0</v>
      </c>
      <c r="AD12" s="96"/>
      <c r="AE12" s="96"/>
      <c r="AF12" s="96"/>
      <c r="AG12" s="96"/>
      <c r="AH12" s="96"/>
      <c r="AI12" s="399">
        <f t="shared" si="3"/>
        <v>0</v>
      </c>
      <c r="AJ12" s="313"/>
    </row>
    <row r="13" spans="1:36" s="82" customFormat="1" ht="409.5">
      <c r="A13" s="4" t="s">
        <v>252</v>
      </c>
      <c r="B13" s="110"/>
      <c r="C13" s="110"/>
      <c r="D13" s="110" t="s">
        <v>209</v>
      </c>
      <c r="E13" s="110" t="s">
        <v>70</v>
      </c>
      <c r="F13" s="110"/>
      <c r="G13" s="110"/>
      <c r="H13" s="110" t="s">
        <v>309</v>
      </c>
      <c r="I13" s="110" t="s">
        <v>249</v>
      </c>
      <c r="J13" s="110"/>
      <c r="K13" s="110"/>
      <c r="L13" s="96"/>
      <c r="M13" s="96"/>
      <c r="N13" s="96"/>
      <c r="O13" s="96"/>
      <c r="P13" s="96"/>
      <c r="Q13" s="396">
        <f t="shared" si="0"/>
        <v>0</v>
      </c>
      <c r="R13" s="96"/>
      <c r="S13" s="96"/>
      <c r="T13" s="96"/>
      <c r="U13" s="96"/>
      <c r="V13" s="96"/>
      <c r="W13" s="398">
        <f t="shared" si="1"/>
        <v>0</v>
      </c>
      <c r="X13" s="96"/>
      <c r="Y13" s="96"/>
      <c r="Z13" s="96"/>
      <c r="AA13" s="96"/>
      <c r="AB13" s="96"/>
      <c r="AC13" s="398">
        <f t="shared" si="2"/>
        <v>0</v>
      </c>
      <c r="AD13" s="96"/>
      <c r="AE13" s="96"/>
      <c r="AF13" s="96"/>
      <c r="AG13" s="96"/>
      <c r="AH13" s="96"/>
      <c r="AI13" s="399">
        <f t="shared" si="3"/>
        <v>0</v>
      </c>
      <c r="AJ13" s="313"/>
    </row>
    <row r="14" spans="1:36" s="82" customFormat="1" ht="15.75">
      <c r="A14" s="4" t="s">
        <v>253</v>
      </c>
      <c r="B14" s="110"/>
      <c r="C14" s="110"/>
      <c r="D14" s="110"/>
      <c r="E14" s="110"/>
      <c r="F14" s="110"/>
      <c r="G14" s="110"/>
      <c r="H14" s="110"/>
      <c r="I14" s="110"/>
      <c r="J14" s="110"/>
      <c r="K14" s="112"/>
      <c r="L14" s="113"/>
      <c r="M14" s="113"/>
      <c r="N14" s="113"/>
      <c r="O14" s="113"/>
      <c r="P14" s="113"/>
      <c r="Q14" s="396">
        <f t="shared" si="0"/>
        <v>0</v>
      </c>
      <c r="R14" s="113"/>
      <c r="S14" s="113"/>
      <c r="T14" s="113"/>
      <c r="U14" s="113"/>
      <c r="V14" s="113"/>
      <c r="W14" s="398">
        <f t="shared" si="1"/>
        <v>0</v>
      </c>
      <c r="X14" s="113"/>
      <c r="Y14" s="113"/>
      <c r="Z14" s="113"/>
      <c r="AA14" s="113"/>
      <c r="AB14" s="113"/>
      <c r="AC14" s="398">
        <f t="shared" si="2"/>
        <v>0</v>
      </c>
      <c r="AD14" s="113"/>
      <c r="AE14" s="113"/>
      <c r="AF14" s="113"/>
      <c r="AG14" s="113"/>
      <c r="AH14" s="113"/>
      <c r="AI14" s="399">
        <f t="shared" si="3"/>
        <v>0</v>
      </c>
      <c r="AJ14" s="313"/>
    </row>
    <row r="15" spans="1:36" s="82" customFormat="1" ht="382.5">
      <c r="A15" s="4" t="s">
        <v>254</v>
      </c>
      <c r="B15" s="110"/>
      <c r="C15" s="110"/>
      <c r="D15" s="110" t="s">
        <v>209</v>
      </c>
      <c r="E15" s="104" t="s">
        <v>75</v>
      </c>
      <c r="F15" s="110"/>
      <c r="G15" s="110"/>
      <c r="H15" s="110" t="s">
        <v>156</v>
      </c>
      <c r="I15" s="110"/>
      <c r="J15" s="110"/>
      <c r="K15" s="110"/>
      <c r="L15" s="360">
        <v>28000</v>
      </c>
      <c r="M15" s="113"/>
      <c r="N15" s="113"/>
      <c r="O15" s="113"/>
      <c r="P15" s="113"/>
      <c r="Q15" s="396">
        <f t="shared" si="0"/>
        <v>28000</v>
      </c>
      <c r="R15" s="360">
        <v>30084</v>
      </c>
      <c r="S15" s="113"/>
      <c r="T15" s="113"/>
      <c r="U15" s="113"/>
      <c r="V15" s="113"/>
      <c r="W15" s="398">
        <f>SUM(R15:V15)</f>
        <v>30084</v>
      </c>
      <c r="X15" s="113"/>
      <c r="Y15" s="113"/>
      <c r="Z15" s="113"/>
      <c r="AA15" s="113"/>
      <c r="AB15" s="113"/>
      <c r="AC15" s="398">
        <f t="shared" si="2"/>
        <v>0</v>
      </c>
      <c r="AD15" s="113"/>
      <c r="AE15" s="113"/>
      <c r="AF15" s="113"/>
      <c r="AG15" s="113"/>
      <c r="AH15" s="113"/>
      <c r="AI15" s="399">
        <f t="shared" si="3"/>
        <v>0</v>
      </c>
      <c r="AJ15" s="313"/>
    </row>
    <row r="16" spans="1:36" s="82" customFormat="1" ht="409.5">
      <c r="A16" s="4" t="s">
        <v>255</v>
      </c>
      <c r="B16" s="110"/>
      <c r="C16" s="110"/>
      <c r="D16" s="110" t="s">
        <v>209</v>
      </c>
      <c r="E16" s="110" t="s">
        <v>256</v>
      </c>
      <c r="F16" s="110"/>
      <c r="G16" s="110"/>
      <c r="H16" s="110" t="s">
        <v>309</v>
      </c>
      <c r="I16" s="110" t="s">
        <v>249</v>
      </c>
      <c r="J16" s="110"/>
      <c r="K16" s="110"/>
      <c r="L16" s="113"/>
      <c r="M16" s="113"/>
      <c r="N16" s="113"/>
      <c r="O16" s="113"/>
      <c r="P16" s="113"/>
      <c r="Q16" s="396">
        <f t="shared" si="0"/>
        <v>0</v>
      </c>
      <c r="R16" s="113"/>
      <c r="S16" s="113"/>
      <c r="T16" s="113"/>
      <c r="U16" s="113"/>
      <c r="V16" s="113"/>
      <c r="W16" s="398">
        <f t="shared" si="1"/>
        <v>0</v>
      </c>
      <c r="X16" s="113"/>
      <c r="Y16" s="113"/>
      <c r="Z16" s="113"/>
      <c r="AA16" s="113"/>
      <c r="AB16" s="113"/>
      <c r="AC16" s="398">
        <f t="shared" si="2"/>
        <v>0</v>
      </c>
      <c r="AD16" s="113"/>
      <c r="AE16" s="113"/>
      <c r="AF16" s="113"/>
      <c r="AG16" s="113"/>
      <c r="AH16" s="113"/>
      <c r="AI16" s="399">
        <f t="shared" si="3"/>
        <v>0</v>
      </c>
      <c r="AJ16" s="313"/>
    </row>
    <row r="17" spans="1:37" s="82" customFormat="1" ht="15.75">
      <c r="A17" s="4" t="s">
        <v>253</v>
      </c>
      <c r="B17" s="110"/>
      <c r="C17" s="110"/>
      <c r="D17" s="110"/>
      <c r="E17" s="110"/>
      <c r="F17" s="110"/>
      <c r="G17" s="110"/>
      <c r="H17" s="110"/>
      <c r="I17" s="110"/>
      <c r="J17" s="110"/>
      <c r="K17" s="110"/>
      <c r="L17" s="113"/>
      <c r="M17" s="113"/>
      <c r="N17" s="113"/>
      <c r="O17" s="113"/>
      <c r="P17" s="113"/>
      <c r="Q17" s="396">
        <f t="shared" si="0"/>
        <v>0</v>
      </c>
      <c r="R17" s="113"/>
      <c r="S17" s="113"/>
      <c r="T17" s="113"/>
      <c r="U17" s="113"/>
      <c r="V17" s="113"/>
      <c r="W17" s="398">
        <f t="shared" si="1"/>
        <v>0</v>
      </c>
      <c r="X17" s="113"/>
      <c r="Y17" s="113"/>
      <c r="Z17" s="113"/>
      <c r="AA17" s="113"/>
      <c r="AB17" s="113"/>
      <c r="AC17" s="398">
        <f t="shared" si="2"/>
        <v>0</v>
      </c>
      <c r="AD17" s="113"/>
      <c r="AE17" s="113"/>
      <c r="AF17" s="113"/>
      <c r="AG17" s="113"/>
      <c r="AH17" s="113"/>
      <c r="AI17" s="399">
        <f t="shared" si="3"/>
        <v>0</v>
      </c>
      <c r="AJ17" s="313"/>
    </row>
    <row r="18" spans="1:37" s="82" customFormat="1" ht="331.5">
      <c r="A18" s="4" t="s">
        <v>257</v>
      </c>
      <c r="B18" s="110"/>
      <c r="C18" s="110"/>
      <c r="D18" s="110" t="s">
        <v>209</v>
      </c>
      <c r="E18" s="110" t="s">
        <v>258</v>
      </c>
      <c r="F18" s="110"/>
      <c r="G18" s="110"/>
      <c r="H18" s="110"/>
      <c r="I18" s="110"/>
      <c r="J18" s="110"/>
      <c r="K18" s="110"/>
      <c r="L18" s="113"/>
      <c r="M18" s="113"/>
      <c r="N18" s="113"/>
      <c r="O18" s="113"/>
      <c r="P18" s="113"/>
      <c r="Q18" s="396">
        <f t="shared" si="0"/>
        <v>0</v>
      </c>
      <c r="R18" s="113"/>
      <c r="S18" s="113"/>
      <c r="T18" s="113"/>
      <c r="U18" s="113"/>
      <c r="V18" s="113"/>
      <c r="W18" s="398">
        <f t="shared" si="1"/>
        <v>0</v>
      </c>
      <c r="X18" s="360">
        <f>1060*1000</f>
        <v>1060000</v>
      </c>
      <c r="Y18" s="113"/>
      <c r="Z18" s="113"/>
      <c r="AA18" s="113"/>
      <c r="AB18" s="113"/>
      <c r="AC18" s="398">
        <f t="shared" si="2"/>
        <v>1060000</v>
      </c>
      <c r="AD18" s="113"/>
      <c r="AE18" s="113"/>
      <c r="AF18" s="113"/>
      <c r="AG18" s="113"/>
      <c r="AH18" s="113"/>
      <c r="AI18" s="399">
        <f t="shared" si="3"/>
        <v>0</v>
      </c>
      <c r="AJ18" s="313"/>
    </row>
    <row r="19" spans="1:37" s="82" customFormat="1" ht="89.25">
      <c r="A19" s="4" t="s">
        <v>259</v>
      </c>
      <c r="B19" s="110"/>
      <c r="C19" s="110"/>
      <c r="D19" s="110" t="s">
        <v>209</v>
      </c>
      <c r="E19" s="110" t="s">
        <v>260</v>
      </c>
      <c r="F19" s="110"/>
      <c r="G19" s="110"/>
      <c r="H19" s="110"/>
      <c r="I19" s="110"/>
      <c r="J19" s="110"/>
      <c r="K19" s="110"/>
      <c r="L19" s="360">
        <v>16600</v>
      </c>
      <c r="M19" s="113"/>
      <c r="N19" s="113"/>
      <c r="O19" s="113"/>
      <c r="P19" s="113"/>
      <c r="Q19" s="396">
        <f t="shared" si="0"/>
        <v>16600</v>
      </c>
      <c r="R19" s="360">
        <v>26400</v>
      </c>
      <c r="S19" s="113"/>
      <c r="T19" s="113"/>
      <c r="U19" s="113"/>
      <c r="V19" s="113"/>
      <c r="W19" s="398">
        <f>SUM(R19:V19)</f>
        <v>26400</v>
      </c>
      <c r="X19" s="361">
        <v>123650</v>
      </c>
      <c r="Y19" s="113"/>
      <c r="Z19" s="113"/>
      <c r="AA19" s="113"/>
      <c r="AB19" s="113"/>
      <c r="AC19" s="398">
        <f t="shared" si="2"/>
        <v>123650</v>
      </c>
      <c r="AD19" s="360">
        <v>358550</v>
      </c>
      <c r="AE19" s="113"/>
      <c r="AF19" s="113"/>
      <c r="AG19" s="113"/>
      <c r="AH19" s="113"/>
      <c r="AI19" s="399">
        <f t="shared" si="3"/>
        <v>358550</v>
      </c>
      <c r="AJ19" s="313"/>
    </row>
    <row r="20" spans="1:37" s="82" customFormat="1" ht="204">
      <c r="A20" s="4" t="s">
        <v>261</v>
      </c>
      <c r="B20" s="110"/>
      <c r="C20" s="110"/>
      <c r="D20" s="110" t="s">
        <v>209</v>
      </c>
      <c r="E20" s="110" t="s">
        <v>262</v>
      </c>
      <c r="F20" s="110"/>
      <c r="G20" s="110"/>
      <c r="H20" s="110"/>
      <c r="I20" s="110"/>
      <c r="J20" s="110"/>
      <c r="K20" s="110"/>
      <c r="L20" s="114"/>
      <c r="M20" s="115"/>
      <c r="N20" s="115"/>
      <c r="O20" s="115"/>
      <c r="P20" s="115"/>
      <c r="Q20" s="396">
        <f t="shared" si="0"/>
        <v>0</v>
      </c>
      <c r="R20" s="362">
        <v>54220</v>
      </c>
      <c r="S20" s="115"/>
      <c r="T20" s="115"/>
      <c r="U20" s="115"/>
      <c r="V20" s="115"/>
      <c r="W20" s="398">
        <f t="shared" si="1"/>
        <v>54220</v>
      </c>
      <c r="X20" s="362">
        <v>19720</v>
      </c>
      <c r="Y20" s="115"/>
      <c r="Z20" s="115"/>
      <c r="AA20" s="115"/>
      <c r="AB20" s="115"/>
      <c r="AC20" s="398">
        <f t="shared" si="2"/>
        <v>19720</v>
      </c>
      <c r="AD20" s="362">
        <v>44400</v>
      </c>
      <c r="AE20" s="115"/>
      <c r="AF20" s="115"/>
      <c r="AG20" s="115"/>
      <c r="AH20" s="115"/>
      <c r="AI20" s="399">
        <f t="shared" si="3"/>
        <v>44400</v>
      </c>
      <c r="AJ20" s="313"/>
    </row>
    <row r="21" spans="1:37" s="82" customFormat="1" ht="204">
      <c r="A21" s="4" t="s">
        <v>263</v>
      </c>
      <c r="B21" s="110"/>
      <c r="C21" s="110"/>
      <c r="D21" s="110" t="s">
        <v>209</v>
      </c>
      <c r="E21" s="110" t="s">
        <v>264</v>
      </c>
      <c r="F21" s="110"/>
      <c r="G21" s="110"/>
      <c r="H21" s="110"/>
      <c r="I21" s="110"/>
      <c r="J21" s="110"/>
      <c r="K21" s="110"/>
      <c r="L21" s="115"/>
      <c r="M21" s="115"/>
      <c r="N21" s="115"/>
      <c r="O21" s="115"/>
      <c r="P21" s="115"/>
      <c r="Q21" s="396">
        <f t="shared" si="0"/>
        <v>0</v>
      </c>
      <c r="R21" s="115"/>
      <c r="S21" s="115"/>
      <c r="T21" s="115"/>
      <c r="U21" s="115"/>
      <c r="V21" s="115"/>
      <c r="W21" s="398">
        <f t="shared" si="1"/>
        <v>0</v>
      </c>
      <c r="X21" s="115"/>
      <c r="Y21" s="115"/>
      <c r="Z21" s="115"/>
      <c r="AA21" s="115"/>
      <c r="AB21" s="115"/>
      <c r="AC21" s="398">
        <f t="shared" si="2"/>
        <v>0</v>
      </c>
      <c r="AD21" s="115"/>
      <c r="AE21" s="115"/>
      <c r="AF21" s="115"/>
      <c r="AG21" s="115"/>
      <c r="AH21" s="115"/>
      <c r="AI21" s="399">
        <f t="shared" si="3"/>
        <v>0</v>
      </c>
      <c r="AJ21" s="313"/>
    </row>
    <row r="22" spans="1:37" s="82" customFormat="1" ht="102">
      <c r="A22" s="4" t="s">
        <v>265</v>
      </c>
      <c r="B22" s="110"/>
      <c r="C22" s="110"/>
      <c r="D22" s="110" t="s">
        <v>209</v>
      </c>
      <c r="E22" s="110" t="s">
        <v>266</v>
      </c>
      <c r="F22" s="110"/>
      <c r="G22" s="110"/>
      <c r="H22" s="110"/>
      <c r="I22" s="110"/>
      <c r="J22" s="110"/>
      <c r="K22" s="110"/>
      <c r="L22" s="115"/>
      <c r="M22" s="115"/>
      <c r="N22" s="115"/>
      <c r="O22" s="115"/>
      <c r="P22" s="115"/>
      <c r="Q22" s="396">
        <f t="shared" si="0"/>
        <v>0</v>
      </c>
      <c r="R22" s="115"/>
      <c r="S22" s="115"/>
      <c r="T22" s="115"/>
      <c r="U22" s="115"/>
      <c r="V22" s="115"/>
      <c r="W22" s="398">
        <f t="shared" si="1"/>
        <v>0</v>
      </c>
      <c r="X22" s="362">
        <v>250000</v>
      </c>
      <c r="Y22" s="115"/>
      <c r="Z22" s="115"/>
      <c r="AA22" s="115"/>
      <c r="AB22" s="115"/>
      <c r="AC22" s="398">
        <f t="shared" si="2"/>
        <v>250000</v>
      </c>
      <c r="AD22" s="362">
        <v>200000</v>
      </c>
      <c r="AE22" s="115"/>
      <c r="AF22" s="115"/>
      <c r="AG22" s="115"/>
      <c r="AH22" s="115"/>
      <c r="AI22" s="399">
        <f t="shared" si="3"/>
        <v>200000</v>
      </c>
      <c r="AJ22" s="313"/>
    </row>
    <row r="23" spans="1:37" s="82" customFormat="1" ht="76.5">
      <c r="A23" s="4" t="s">
        <v>267</v>
      </c>
      <c r="B23" s="110"/>
      <c r="C23" s="110"/>
      <c r="D23" s="110" t="s">
        <v>209</v>
      </c>
      <c r="E23" s="110" t="s">
        <v>268</v>
      </c>
      <c r="F23" s="110"/>
      <c r="G23" s="110"/>
      <c r="H23" s="110"/>
      <c r="I23" s="110"/>
      <c r="J23" s="110"/>
      <c r="K23" s="110"/>
      <c r="L23" s="115"/>
      <c r="M23" s="115"/>
      <c r="N23" s="115"/>
      <c r="O23" s="115"/>
      <c r="P23" s="115"/>
      <c r="Q23" s="396">
        <f t="shared" si="0"/>
        <v>0</v>
      </c>
      <c r="R23" s="362">
        <v>18000</v>
      </c>
      <c r="S23" s="115"/>
      <c r="T23" s="115"/>
      <c r="U23" s="115"/>
      <c r="V23" s="115"/>
      <c r="W23" s="398">
        <f t="shared" si="1"/>
        <v>18000</v>
      </c>
      <c r="X23" s="362">
        <v>60000</v>
      </c>
      <c r="Y23" s="115"/>
      <c r="Z23" s="115"/>
      <c r="AA23" s="115"/>
      <c r="AB23" s="115"/>
      <c r="AC23" s="398">
        <f t="shared" si="2"/>
        <v>60000</v>
      </c>
      <c r="AD23" s="115"/>
      <c r="AE23" s="115"/>
      <c r="AF23" s="115"/>
      <c r="AG23" s="115"/>
      <c r="AH23" s="115"/>
      <c r="AI23" s="399">
        <f t="shared" si="3"/>
        <v>0</v>
      </c>
      <c r="AJ23" s="313"/>
    </row>
    <row r="24" spans="1:37" s="82" customFormat="1" ht="102">
      <c r="A24" s="4" t="s">
        <v>269</v>
      </c>
      <c r="B24" s="110"/>
      <c r="C24" s="110"/>
      <c r="D24" s="110" t="s">
        <v>209</v>
      </c>
      <c r="E24" s="110" t="s">
        <v>270</v>
      </c>
      <c r="F24" s="110"/>
      <c r="G24" s="110"/>
      <c r="H24" s="110"/>
      <c r="I24" s="110"/>
      <c r="J24" s="110"/>
      <c r="K24" s="110"/>
      <c r="L24" s="115"/>
      <c r="M24" s="115"/>
      <c r="N24" s="115"/>
      <c r="O24" s="115"/>
      <c r="P24" s="115"/>
      <c r="Q24" s="396">
        <f t="shared" si="0"/>
        <v>0</v>
      </c>
      <c r="R24" s="362">
        <v>250000</v>
      </c>
      <c r="S24" s="115"/>
      <c r="T24" s="115"/>
      <c r="U24" s="115"/>
      <c r="V24" s="115"/>
      <c r="W24" s="398">
        <f t="shared" si="1"/>
        <v>250000</v>
      </c>
      <c r="X24" s="362">
        <v>130000</v>
      </c>
      <c r="Y24" s="115"/>
      <c r="Z24" s="115"/>
      <c r="AA24" s="115"/>
      <c r="AB24" s="115"/>
      <c r="AC24" s="398">
        <f t="shared" si="2"/>
        <v>130000</v>
      </c>
      <c r="AD24" s="115"/>
      <c r="AE24" s="115"/>
      <c r="AF24" s="115"/>
      <c r="AG24" s="115"/>
      <c r="AH24" s="115"/>
      <c r="AI24" s="399">
        <f t="shared" si="3"/>
        <v>0</v>
      </c>
      <c r="AJ24" s="313"/>
    </row>
    <row r="25" spans="1:37" s="82" customFormat="1" ht="102">
      <c r="A25" s="4" t="s">
        <v>271</v>
      </c>
      <c r="B25" s="110"/>
      <c r="C25" s="110"/>
      <c r="D25" s="110" t="s">
        <v>209</v>
      </c>
      <c r="E25" s="110" t="s">
        <v>272</v>
      </c>
      <c r="F25" s="110"/>
      <c r="G25" s="110"/>
      <c r="H25" s="110"/>
      <c r="I25" s="110"/>
      <c r="J25" s="110"/>
      <c r="K25" s="110"/>
      <c r="L25" s="115"/>
      <c r="M25" s="115"/>
      <c r="N25" s="115"/>
      <c r="O25" s="115"/>
      <c r="P25" s="115"/>
      <c r="Q25" s="396">
        <f t="shared" si="0"/>
        <v>0</v>
      </c>
      <c r="R25" s="115"/>
      <c r="S25" s="115"/>
      <c r="T25" s="115"/>
      <c r="U25" s="115"/>
      <c r="V25" s="115"/>
      <c r="W25" s="398">
        <f t="shared" si="1"/>
        <v>0</v>
      </c>
      <c r="X25" s="115"/>
      <c r="Y25" s="115"/>
      <c r="Z25" s="115"/>
      <c r="AA25" s="115"/>
      <c r="AB25" s="115"/>
      <c r="AC25" s="398">
        <f t="shared" si="2"/>
        <v>0</v>
      </c>
      <c r="AD25" s="362">
        <v>90000</v>
      </c>
      <c r="AE25" s="115"/>
      <c r="AF25" s="115"/>
      <c r="AG25" s="115"/>
      <c r="AH25" s="115"/>
      <c r="AI25" s="399">
        <f t="shared" si="3"/>
        <v>90000</v>
      </c>
      <c r="AJ25" s="313"/>
    </row>
    <row r="26" spans="1:37" s="82" customFormat="1" ht="38.25">
      <c r="A26" s="4" t="s">
        <v>273</v>
      </c>
      <c r="B26" s="110"/>
      <c r="C26" s="110"/>
      <c r="D26" s="110" t="s">
        <v>209</v>
      </c>
      <c r="E26" s="110" t="s">
        <v>274</v>
      </c>
      <c r="F26" s="110"/>
      <c r="G26" s="110"/>
      <c r="H26" s="110"/>
      <c r="I26" s="110"/>
      <c r="J26" s="110"/>
      <c r="K26" s="110"/>
      <c r="L26" s="115"/>
      <c r="M26" s="115"/>
      <c r="N26" s="115"/>
      <c r="O26" s="115"/>
      <c r="P26" s="115"/>
      <c r="Q26" s="396">
        <f t="shared" si="0"/>
        <v>0</v>
      </c>
      <c r="R26" s="115"/>
      <c r="S26" s="115"/>
      <c r="T26" s="115"/>
      <c r="U26" s="115"/>
      <c r="V26" s="115"/>
      <c r="W26" s="398">
        <f t="shared" si="1"/>
        <v>0</v>
      </c>
      <c r="X26" s="362">
        <v>70000</v>
      </c>
      <c r="Y26" s="115"/>
      <c r="Z26" s="115"/>
      <c r="AA26" s="115"/>
      <c r="AB26" s="115"/>
      <c r="AC26" s="398">
        <f t="shared" si="2"/>
        <v>70000</v>
      </c>
      <c r="AD26" s="115"/>
      <c r="AE26" s="115"/>
      <c r="AF26" s="115"/>
      <c r="AG26" s="115"/>
      <c r="AH26" s="115"/>
      <c r="AI26" s="399">
        <f t="shared" si="3"/>
        <v>0</v>
      </c>
      <c r="AJ26" s="313"/>
    </row>
    <row r="27" spans="1:37" s="82" customFormat="1" ht="38.25">
      <c r="A27" s="4" t="s">
        <v>275</v>
      </c>
      <c r="B27" s="110"/>
      <c r="C27" s="110"/>
      <c r="D27" s="110" t="s">
        <v>209</v>
      </c>
      <c r="E27" s="110"/>
      <c r="F27" s="110"/>
      <c r="G27" s="110"/>
      <c r="H27" s="110"/>
      <c r="I27" s="110"/>
      <c r="J27" s="110"/>
      <c r="K27" s="110"/>
      <c r="L27" s="362">
        <v>13400</v>
      </c>
      <c r="M27" s="115"/>
      <c r="N27" s="115"/>
      <c r="O27" s="115"/>
      <c r="P27" s="115"/>
      <c r="Q27" s="396">
        <f t="shared" si="0"/>
        <v>13400</v>
      </c>
      <c r="R27" s="499">
        <f>74.6*1000</f>
        <v>74600</v>
      </c>
      <c r="S27" s="115"/>
      <c r="T27" s="115"/>
      <c r="U27" s="115"/>
      <c r="V27" s="115"/>
      <c r="W27" s="398">
        <f>SUM(R27:V27)</f>
        <v>74600</v>
      </c>
      <c r="X27" s="115"/>
      <c r="Y27" s="115"/>
      <c r="Z27" s="115"/>
      <c r="AA27" s="115"/>
      <c r="AB27" s="115"/>
      <c r="AC27" s="398">
        <f t="shared" si="2"/>
        <v>0</v>
      </c>
      <c r="AD27" s="115"/>
      <c r="AE27" s="115"/>
      <c r="AF27" s="115"/>
      <c r="AG27" s="115"/>
      <c r="AH27" s="115"/>
      <c r="AI27" s="399">
        <f t="shared" si="3"/>
        <v>0</v>
      </c>
      <c r="AJ27" s="313"/>
    </row>
    <row r="28" spans="1:37" s="82" customFormat="1" ht="15.75">
      <c r="A28" s="172" t="s">
        <v>276</v>
      </c>
      <c r="B28" s="111"/>
      <c r="C28" s="111"/>
      <c r="D28" s="111"/>
      <c r="E28" s="111"/>
      <c r="F28" s="111"/>
      <c r="G28" s="111"/>
      <c r="H28" s="111"/>
      <c r="I28" s="111"/>
      <c r="J28" s="111"/>
      <c r="K28" s="111"/>
      <c r="L28" s="363">
        <v>58000</v>
      </c>
      <c r="M28" s="177">
        <v>0</v>
      </c>
      <c r="N28" s="177">
        <v>0</v>
      </c>
      <c r="O28" s="177">
        <v>0</v>
      </c>
      <c r="P28" s="177">
        <v>0</v>
      </c>
      <c r="Q28" s="397">
        <v>0</v>
      </c>
      <c r="R28" s="363">
        <v>453280</v>
      </c>
      <c r="S28" s="177">
        <v>0</v>
      </c>
      <c r="T28" s="177">
        <v>0</v>
      </c>
      <c r="U28" s="177">
        <v>0</v>
      </c>
      <c r="V28" s="177">
        <v>0</v>
      </c>
      <c r="W28" s="177">
        <v>0</v>
      </c>
      <c r="X28" s="363">
        <v>1713370</v>
      </c>
      <c r="Y28" s="177">
        <v>0</v>
      </c>
      <c r="Z28" s="177">
        <v>0</v>
      </c>
      <c r="AA28" s="177">
        <v>0</v>
      </c>
      <c r="AB28" s="177">
        <v>0</v>
      </c>
      <c r="AC28" s="177">
        <v>0</v>
      </c>
      <c r="AD28" s="363">
        <v>692950</v>
      </c>
      <c r="AE28" s="177">
        <v>0</v>
      </c>
      <c r="AF28" s="177">
        <v>0</v>
      </c>
      <c r="AG28" s="177">
        <v>0</v>
      </c>
      <c r="AH28" s="177">
        <v>0</v>
      </c>
      <c r="AI28" s="315">
        <v>693</v>
      </c>
      <c r="AJ28" s="317">
        <v>2917580</v>
      </c>
      <c r="AK28" s="387">
        <f>SUM(AD28+X28+R28+L28)</f>
        <v>2917600</v>
      </c>
    </row>
    <row r="29" spans="1:37" s="82" customFormat="1" ht="15.75">
      <c r="A29" s="116"/>
      <c r="B29" s="116"/>
      <c r="C29" s="116"/>
      <c r="D29" s="104"/>
      <c r="E29" s="104"/>
      <c r="F29" s="104"/>
      <c r="G29" s="104"/>
      <c r="H29" s="104"/>
      <c r="I29" s="104"/>
      <c r="J29" s="104"/>
      <c r="K29" s="104"/>
      <c r="L29" s="117"/>
      <c r="M29" s="117"/>
      <c r="N29" s="117"/>
      <c r="O29" s="117"/>
      <c r="P29" s="117"/>
      <c r="Q29" s="118"/>
      <c r="R29" s="117"/>
      <c r="S29" s="117"/>
      <c r="T29" s="117"/>
      <c r="U29" s="117"/>
      <c r="V29" s="117"/>
      <c r="W29" s="118"/>
      <c r="X29" s="118"/>
      <c r="Y29" s="118"/>
      <c r="Z29" s="118"/>
      <c r="AA29" s="118"/>
      <c r="AB29" s="118"/>
      <c r="AC29" s="118"/>
      <c r="AD29" s="117"/>
      <c r="AE29" s="117"/>
      <c r="AF29" s="117"/>
      <c r="AG29" s="117"/>
      <c r="AH29" s="117"/>
    </row>
    <row r="30" spans="1:37" s="386" customFormat="1" ht="15.75">
      <c r="A30" s="383" t="s">
        <v>277</v>
      </c>
      <c r="B30" s="384"/>
      <c r="C30" s="385"/>
      <c r="D30" s="385"/>
      <c r="E30" s="385"/>
      <c r="F30" s="385"/>
      <c r="G30" s="385"/>
      <c r="H30" s="385"/>
      <c r="I30" s="385"/>
      <c r="J30" s="384"/>
      <c r="K30" s="384"/>
      <c r="L30" s="388">
        <f>SUM(L8:L27)</f>
        <v>58000</v>
      </c>
      <c r="M30" s="388">
        <f t="shared" ref="M30:AI30" si="4">SUM(M8:M27)</f>
        <v>0</v>
      </c>
      <c r="N30" s="388">
        <f t="shared" si="4"/>
        <v>0</v>
      </c>
      <c r="O30" s="388">
        <f t="shared" si="4"/>
        <v>0</v>
      </c>
      <c r="P30" s="388">
        <f t="shared" si="4"/>
        <v>0</v>
      </c>
      <c r="Q30" s="388">
        <f>SUM(Q8:Q27)</f>
        <v>58000</v>
      </c>
      <c r="R30" s="388">
        <f>SUM(R8:R27)</f>
        <v>453304</v>
      </c>
      <c r="S30" s="388">
        <f t="shared" si="4"/>
        <v>0</v>
      </c>
      <c r="T30" s="388">
        <f t="shared" si="4"/>
        <v>0</v>
      </c>
      <c r="U30" s="388">
        <f t="shared" si="4"/>
        <v>0</v>
      </c>
      <c r="V30" s="388">
        <f t="shared" si="4"/>
        <v>0</v>
      </c>
      <c r="W30" s="388">
        <f>SUM(W8:W27)</f>
        <v>453304</v>
      </c>
      <c r="X30" s="388">
        <f>SUM(X8:X27)</f>
        <v>1713370</v>
      </c>
      <c r="Y30" s="388">
        <f t="shared" si="4"/>
        <v>0</v>
      </c>
      <c r="Z30" s="388">
        <f t="shared" si="4"/>
        <v>0</v>
      </c>
      <c r="AA30" s="388">
        <f t="shared" si="4"/>
        <v>0</v>
      </c>
      <c r="AB30" s="388">
        <f t="shared" si="4"/>
        <v>0</v>
      </c>
      <c r="AC30" s="388">
        <f>SUM(AC8:AC27)</f>
        <v>1713370</v>
      </c>
      <c r="AD30" s="388">
        <f t="shared" si="4"/>
        <v>692950</v>
      </c>
      <c r="AE30" s="388">
        <f t="shared" si="4"/>
        <v>0</v>
      </c>
      <c r="AF30" s="388">
        <f t="shared" si="4"/>
        <v>0</v>
      </c>
      <c r="AG30" s="388">
        <f t="shared" si="4"/>
        <v>0</v>
      </c>
      <c r="AH30" s="388">
        <f>SUM(AH8:AH27)</f>
        <v>0</v>
      </c>
      <c r="AI30" s="388">
        <f t="shared" si="4"/>
        <v>692950</v>
      </c>
      <c r="AJ30" s="389"/>
      <c r="AK30" s="389">
        <f>SUM(X30+R30+L30+AI30)</f>
        <v>2917624</v>
      </c>
    </row>
    <row r="31" spans="1:37" s="82" customFormat="1" ht="15.75">
      <c r="A31" s="1177" t="s">
        <v>278</v>
      </c>
      <c r="B31" s="1177"/>
      <c r="C31" s="1177"/>
      <c r="D31" s="1177"/>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K31" s="386">
        <f>SUM(AI30+AC30+W30+Q30)</f>
        <v>2917624</v>
      </c>
    </row>
    <row r="32" spans="1:37" s="82" customFormat="1" ht="47.25">
      <c r="A32" s="1164"/>
      <c r="B32" s="1175" t="s">
        <v>215</v>
      </c>
      <c r="C32" s="1175" t="s">
        <v>279</v>
      </c>
      <c r="D32" s="1175" t="s">
        <v>0</v>
      </c>
      <c r="E32" s="1175" t="s">
        <v>210</v>
      </c>
      <c r="F32" s="1176" t="s">
        <v>280</v>
      </c>
      <c r="G32" s="1176"/>
      <c r="H32" s="1175" t="s">
        <v>22</v>
      </c>
      <c r="I32" s="1175" t="s">
        <v>281</v>
      </c>
      <c r="J32" s="1175" t="s">
        <v>212</v>
      </c>
      <c r="K32" s="1175" t="s">
        <v>282</v>
      </c>
      <c r="L32" s="1175">
        <v>2013</v>
      </c>
      <c r="M32" s="1175"/>
      <c r="N32" s="1175"/>
      <c r="O32" s="1175"/>
      <c r="P32" s="1175"/>
      <c r="Q32" s="1175"/>
      <c r="R32" s="1175">
        <v>2014</v>
      </c>
      <c r="S32" s="1175"/>
      <c r="T32" s="1175"/>
      <c r="U32" s="1175"/>
      <c r="V32" s="1175"/>
      <c r="W32" s="1175"/>
      <c r="X32" s="1175">
        <v>2015</v>
      </c>
      <c r="Y32" s="1175"/>
      <c r="Z32" s="1175"/>
      <c r="AA32" s="1175"/>
      <c r="AB32" s="1175"/>
      <c r="AC32" s="1175"/>
      <c r="AD32" s="1175">
        <v>2016</v>
      </c>
      <c r="AE32" s="1175"/>
      <c r="AF32" s="1175"/>
      <c r="AG32" s="1175"/>
      <c r="AH32" s="1175"/>
      <c r="AI32" s="315" t="s">
        <v>688</v>
      </c>
      <c r="AJ32" s="315" t="s">
        <v>689</v>
      </c>
    </row>
    <row r="33" spans="1:36" s="82" customFormat="1" ht="15.75" customHeight="1">
      <c r="A33" s="1163"/>
      <c r="B33" s="1175"/>
      <c r="C33" s="1175"/>
      <c r="D33" s="1175"/>
      <c r="E33" s="1175"/>
      <c r="F33" s="1165"/>
      <c r="G33" s="1165"/>
      <c r="H33" s="1175"/>
      <c r="I33" s="1175"/>
      <c r="J33" s="1175"/>
      <c r="K33" s="1175"/>
      <c r="L33" s="1175" t="s">
        <v>283</v>
      </c>
      <c r="M33" s="1175"/>
      <c r="N33" s="1175"/>
      <c r="O33" s="1175"/>
      <c r="P33" s="1175"/>
      <c r="Q33" s="1175"/>
      <c r="R33" s="1175" t="s">
        <v>283</v>
      </c>
      <c r="S33" s="1175"/>
      <c r="T33" s="1175"/>
      <c r="U33" s="1175"/>
      <c r="V33" s="1175"/>
      <c r="W33" s="1175"/>
      <c r="X33" s="1175" t="s">
        <v>283</v>
      </c>
      <c r="Y33" s="1175"/>
      <c r="Z33" s="1175"/>
      <c r="AA33" s="1175"/>
      <c r="AB33" s="1175"/>
      <c r="AC33" s="1175"/>
      <c r="AD33" s="1175" t="s">
        <v>283</v>
      </c>
      <c r="AE33" s="1175"/>
      <c r="AF33" s="1175"/>
      <c r="AG33" s="1175"/>
      <c r="AH33" s="1175"/>
      <c r="AI33" s="313"/>
      <c r="AJ33" s="316"/>
    </row>
    <row r="34" spans="1:36" s="82" customFormat="1" ht="51">
      <c r="A34" s="1165"/>
      <c r="B34" s="1175"/>
      <c r="C34" s="1175"/>
      <c r="D34" s="1175"/>
      <c r="E34" s="1175"/>
      <c r="F34" s="119" t="s">
        <v>284</v>
      </c>
      <c r="G34" s="119" t="s">
        <v>6</v>
      </c>
      <c r="H34" s="1175"/>
      <c r="I34" s="1175"/>
      <c r="J34" s="1175"/>
      <c r="K34" s="1175"/>
      <c r="L34" s="119" t="s">
        <v>1</v>
      </c>
      <c r="M34" s="119" t="s">
        <v>2</v>
      </c>
      <c r="N34" s="119" t="s">
        <v>285</v>
      </c>
      <c r="O34" s="119" t="s">
        <v>17</v>
      </c>
      <c r="P34" s="119" t="s">
        <v>19</v>
      </c>
      <c r="Q34" s="119" t="s">
        <v>4</v>
      </c>
      <c r="R34" s="119" t="s">
        <v>1</v>
      </c>
      <c r="S34" s="119" t="s">
        <v>2</v>
      </c>
      <c r="T34" s="119" t="s">
        <v>285</v>
      </c>
      <c r="U34" s="119" t="s">
        <v>17</v>
      </c>
      <c r="V34" s="119" t="s">
        <v>19</v>
      </c>
      <c r="W34" s="119" t="s">
        <v>4</v>
      </c>
      <c r="X34" s="119" t="s">
        <v>1</v>
      </c>
      <c r="Y34" s="119" t="s">
        <v>2</v>
      </c>
      <c r="Z34" s="119" t="s">
        <v>285</v>
      </c>
      <c r="AA34" s="119" t="s">
        <v>17</v>
      </c>
      <c r="AB34" s="119" t="s">
        <v>19</v>
      </c>
      <c r="AC34" s="119" t="s">
        <v>4</v>
      </c>
      <c r="AD34" s="119" t="s">
        <v>1</v>
      </c>
      <c r="AE34" s="119" t="s">
        <v>2</v>
      </c>
      <c r="AF34" s="119" t="s">
        <v>285</v>
      </c>
      <c r="AG34" s="119" t="s">
        <v>17</v>
      </c>
      <c r="AH34" s="119" t="s">
        <v>19</v>
      </c>
      <c r="AI34" s="313"/>
      <c r="AJ34" s="313"/>
    </row>
    <row r="35" spans="1:36" s="82" customFormat="1" ht="15.75">
      <c r="A35" s="159"/>
      <c r="B35" s="121" t="s">
        <v>33</v>
      </c>
      <c r="C35" s="121" t="s">
        <v>34</v>
      </c>
      <c r="D35" s="121" t="s">
        <v>45</v>
      </c>
      <c r="E35" s="121" t="s">
        <v>35</v>
      </c>
      <c r="F35" s="121" t="s">
        <v>36</v>
      </c>
      <c r="G35" s="121" t="s">
        <v>37</v>
      </c>
      <c r="H35" s="121" t="s">
        <v>38</v>
      </c>
      <c r="I35" s="121" t="s">
        <v>39</v>
      </c>
      <c r="J35" s="121" t="s">
        <v>40</v>
      </c>
      <c r="K35" s="121" t="s">
        <v>41</v>
      </c>
      <c r="L35" s="119" t="s">
        <v>221</v>
      </c>
      <c r="M35" s="121" t="s">
        <v>222</v>
      </c>
      <c r="N35" s="121" t="s">
        <v>223</v>
      </c>
      <c r="O35" s="119" t="s">
        <v>224</v>
      </c>
      <c r="P35" s="121" t="s">
        <v>225</v>
      </c>
      <c r="Q35" s="121" t="s">
        <v>226</v>
      </c>
      <c r="R35" s="119" t="s">
        <v>227</v>
      </c>
      <c r="S35" s="121" t="s">
        <v>286</v>
      </c>
      <c r="T35" s="121" t="s">
        <v>229</v>
      </c>
      <c r="U35" s="119" t="s">
        <v>230</v>
      </c>
      <c r="V35" s="121" t="s">
        <v>231</v>
      </c>
      <c r="W35" s="121" t="s">
        <v>232</v>
      </c>
      <c r="X35" s="119" t="s">
        <v>233</v>
      </c>
      <c r="Y35" s="121" t="s">
        <v>234</v>
      </c>
      <c r="Z35" s="121" t="s">
        <v>235</v>
      </c>
      <c r="AA35" s="119" t="s">
        <v>236</v>
      </c>
      <c r="AB35" s="121" t="s">
        <v>237</v>
      </c>
      <c r="AC35" s="121" t="s">
        <v>238</v>
      </c>
      <c r="AD35" s="119" t="s">
        <v>239</v>
      </c>
      <c r="AE35" s="121" t="s">
        <v>240</v>
      </c>
      <c r="AF35" s="121" t="s">
        <v>241</v>
      </c>
      <c r="AG35" s="119" t="s">
        <v>242</v>
      </c>
      <c r="AH35" s="121" t="s">
        <v>243</v>
      </c>
      <c r="AI35" s="400"/>
      <c r="AJ35" s="313"/>
    </row>
    <row r="36" spans="1:36" s="82" customFormat="1" ht="15.75">
      <c r="A36" s="160" t="s">
        <v>287</v>
      </c>
      <c r="B36" s="122"/>
      <c r="C36" s="122"/>
      <c r="D36" s="122"/>
      <c r="E36" s="122"/>
      <c r="F36" s="122"/>
      <c r="G36" s="122"/>
      <c r="H36" s="122"/>
      <c r="I36" s="122"/>
      <c r="J36" s="122"/>
      <c r="K36" s="122"/>
      <c r="L36" s="122"/>
      <c r="M36" s="122"/>
      <c r="N36" s="122"/>
      <c r="O36" s="122"/>
      <c r="P36" s="122"/>
      <c r="Q36" s="122">
        <f>SUM(L36:P36)</f>
        <v>0</v>
      </c>
      <c r="R36" s="122"/>
      <c r="S36" s="122"/>
      <c r="T36" s="122"/>
      <c r="U36" s="122"/>
      <c r="V36" s="122"/>
      <c r="W36" s="122"/>
      <c r="X36" s="122"/>
      <c r="Y36" s="122"/>
      <c r="Z36" s="122"/>
      <c r="AA36" s="122"/>
      <c r="AB36" s="122"/>
      <c r="AC36" s="122"/>
      <c r="AD36" s="122"/>
      <c r="AE36" s="122"/>
      <c r="AF36" s="122"/>
      <c r="AG36" s="122"/>
      <c r="AH36" s="122"/>
      <c r="AI36" s="400"/>
      <c r="AJ36" s="313"/>
    </row>
    <row r="37" spans="1:36" s="82" customFormat="1" ht="25.5">
      <c r="A37" s="160" t="s">
        <v>288</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400">
        <f>SUM(AD37:AH37)</f>
        <v>0</v>
      </c>
      <c r="AJ37" s="313"/>
    </row>
    <row r="38" spans="1:36" s="82" customFormat="1" ht="15.75">
      <c r="A38" s="161"/>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400">
        <f t="shared" ref="AI38:AI64" si="5">SUM(AD38:AH38)</f>
        <v>0</v>
      </c>
      <c r="AJ38" s="313"/>
    </row>
    <row r="39" spans="1:36" s="82" customFormat="1" ht="15.75">
      <c r="A39" s="160" t="s">
        <v>289</v>
      </c>
      <c r="B39" s="120"/>
      <c r="C39" s="120"/>
      <c r="D39" s="120"/>
      <c r="E39" s="120"/>
      <c r="F39" s="120"/>
      <c r="G39" s="120"/>
      <c r="H39" s="120"/>
      <c r="I39" s="120"/>
      <c r="J39" s="120"/>
      <c r="K39" s="120"/>
      <c r="L39" s="120"/>
      <c r="M39" s="120"/>
      <c r="N39" s="120"/>
      <c r="O39" s="120"/>
      <c r="P39" s="120"/>
      <c r="Q39" s="120">
        <f>SUM(L39:P39)</f>
        <v>0</v>
      </c>
      <c r="R39" s="120"/>
      <c r="S39" s="120"/>
      <c r="T39" s="120"/>
      <c r="U39" s="120"/>
      <c r="V39" s="120"/>
      <c r="W39" s="120"/>
      <c r="X39" s="120"/>
      <c r="Y39" s="120"/>
      <c r="Z39" s="120"/>
      <c r="AA39" s="120"/>
      <c r="AB39" s="120"/>
      <c r="AC39" s="120"/>
      <c r="AD39" s="120"/>
      <c r="AE39" s="120"/>
      <c r="AF39" s="120"/>
      <c r="AG39" s="120"/>
      <c r="AH39" s="120"/>
      <c r="AI39" s="400">
        <f t="shared" si="5"/>
        <v>0</v>
      </c>
      <c r="AJ39" s="313"/>
    </row>
    <row r="40" spans="1:36" s="82" customFormat="1" ht="25.5">
      <c r="A40" s="160" t="s">
        <v>290</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400">
        <f t="shared" si="5"/>
        <v>0</v>
      </c>
      <c r="AJ40" s="313"/>
    </row>
    <row r="41" spans="1:36" s="82" customFormat="1" ht="15.75">
      <c r="A41" s="160" t="s">
        <v>291</v>
      </c>
      <c r="B41" s="120"/>
      <c r="C41" s="120"/>
      <c r="D41" s="120"/>
      <c r="E41" s="120"/>
      <c r="F41" s="120"/>
      <c r="G41" s="120"/>
      <c r="H41" s="120"/>
      <c r="I41" s="120"/>
      <c r="J41" s="120"/>
      <c r="K41" s="120"/>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400">
        <f t="shared" si="5"/>
        <v>0</v>
      </c>
      <c r="AJ41" s="313"/>
    </row>
    <row r="42" spans="1:36" s="82" customFormat="1" ht="15.75">
      <c r="A42" s="161"/>
      <c r="B42" s="123"/>
      <c r="C42" s="123"/>
      <c r="D42" s="123"/>
      <c r="E42" s="123"/>
      <c r="F42" s="123"/>
      <c r="G42" s="123"/>
      <c r="H42" s="123"/>
      <c r="I42" s="123"/>
      <c r="J42" s="123"/>
      <c r="K42" s="123"/>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400">
        <f t="shared" si="5"/>
        <v>0</v>
      </c>
      <c r="AJ42" s="313"/>
    </row>
    <row r="43" spans="1:36" s="82" customFormat="1" ht="15.75">
      <c r="A43" s="160" t="s">
        <v>292</v>
      </c>
      <c r="B43" s="120"/>
      <c r="C43" s="120"/>
      <c r="D43" s="120"/>
      <c r="E43" s="120"/>
      <c r="F43" s="120"/>
      <c r="G43" s="120"/>
      <c r="H43" s="120"/>
      <c r="I43" s="120"/>
      <c r="J43" s="120"/>
      <c r="K43" s="120"/>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400">
        <f t="shared" si="5"/>
        <v>0</v>
      </c>
      <c r="AJ43" s="313"/>
    </row>
    <row r="44" spans="1:36" s="82" customFormat="1" ht="15.75">
      <c r="A44" s="161"/>
      <c r="B44" s="123"/>
      <c r="C44" s="123"/>
      <c r="D44" s="123"/>
      <c r="E44" s="123"/>
      <c r="F44" s="123"/>
      <c r="G44" s="123"/>
      <c r="H44" s="123"/>
      <c r="I44" s="123"/>
      <c r="J44" s="123"/>
      <c r="K44" s="123"/>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400">
        <f t="shared" si="5"/>
        <v>0</v>
      </c>
      <c r="AJ44" s="313"/>
    </row>
    <row r="45" spans="1:36" s="82" customFormat="1" ht="15.75">
      <c r="A45" s="160" t="s">
        <v>293</v>
      </c>
      <c r="B45" s="120"/>
      <c r="C45" s="120"/>
      <c r="D45" s="1163"/>
      <c r="E45" s="120"/>
      <c r="F45" s="120"/>
      <c r="G45" s="120"/>
      <c r="H45" s="120"/>
      <c r="I45" s="120"/>
      <c r="J45" s="120"/>
      <c r="K45" s="120"/>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400">
        <f t="shared" si="5"/>
        <v>0</v>
      </c>
      <c r="AJ45" s="313"/>
    </row>
    <row r="46" spans="1:36" s="82" customFormat="1" ht="15.75">
      <c r="A46" s="160"/>
      <c r="B46" s="120"/>
      <c r="C46" s="120"/>
      <c r="D46" s="1163"/>
      <c r="E46" s="120"/>
      <c r="F46" s="120"/>
      <c r="G46" s="120"/>
      <c r="H46" s="120"/>
      <c r="I46" s="120"/>
      <c r="J46" s="120"/>
      <c r="K46" s="120"/>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400">
        <f t="shared" si="5"/>
        <v>0</v>
      </c>
      <c r="AJ46" s="313"/>
    </row>
    <row r="47" spans="1:36" s="82" customFormat="1" ht="25.5">
      <c r="A47" s="162" t="s">
        <v>294</v>
      </c>
      <c r="B47" s="120"/>
      <c r="C47" s="120"/>
      <c r="D47" s="120"/>
      <c r="E47" s="120"/>
      <c r="F47" s="120"/>
      <c r="G47" s="120"/>
      <c r="H47" s="120"/>
      <c r="I47" s="120"/>
      <c r="J47" s="120"/>
      <c r="K47" s="120"/>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400">
        <f t="shared" si="5"/>
        <v>0</v>
      </c>
      <c r="AJ47" s="313"/>
    </row>
    <row r="48" spans="1:36" s="82" customFormat="1" ht="15.75">
      <c r="A48" s="162" t="s">
        <v>295</v>
      </c>
      <c r="B48" s="120"/>
      <c r="C48" s="120"/>
      <c r="D48" s="120"/>
      <c r="E48" s="120"/>
      <c r="F48" s="120"/>
      <c r="G48" s="120"/>
      <c r="H48" s="120"/>
      <c r="I48" s="120"/>
      <c r="J48" s="120"/>
      <c r="K48" s="120"/>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400">
        <f t="shared" si="5"/>
        <v>0</v>
      </c>
      <c r="AJ48" s="313"/>
    </row>
    <row r="49" spans="1:37" s="82" customFormat="1" ht="15.75">
      <c r="A49" s="163"/>
      <c r="B49" s="123"/>
      <c r="C49" s="123"/>
      <c r="D49" s="123"/>
      <c r="E49" s="123"/>
      <c r="F49" s="123"/>
      <c r="G49" s="123"/>
      <c r="H49" s="123"/>
      <c r="I49" s="123"/>
      <c r="J49" s="123"/>
      <c r="K49" s="123"/>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400">
        <f t="shared" si="5"/>
        <v>0</v>
      </c>
      <c r="AJ49" s="313"/>
    </row>
    <row r="50" spans="1:37" s="82" customFormat="1" ht="25.5">
      <c r="A50" s="164" t="s">
        <v>296</v>
      </c>
      <c r="B50" s="126"/>
      <c r="C50" s="126"/>
      <c r="D50" s="126"/>
      <c r="E50" s="126"/>
      <c r="F50" s="126"/>
      <c r="G50" s="126"/>
      <c r="H50" s="126"/>
      <c r="I50" s="127"/>
      <c r="J50" s="126"/>
      <c r="K50" s="126"/>
      <c r="L50" s="128"/>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400">
        <f t="shared" si="5"/>
        <v>0</v>
      </c>
      <c r="AJ50" s="313"/>
    </row>
    <row r="51" spans="1:37" s="82" customFormat="1" ht="63.75" customHeight="1">
      <c r="A51" s="162" t="s">
        <v>297</v>
      </c>
      <c r="B51" s="120"/>
      <c r="C51" s="120"/>
      <c r="D51" s="120" t="s">
        <v>277</v>
      </c>
      <c r="E51" s="122" t="s">
        <v>85</v>
      </c>
      <c r="F51" s="120"/>
      <c r="G51" s="120"/>
      <c r="H51" s="120" t="s">
        <v>310</v>
      </c>
      <c r="I51" s="130" t="s">
        <v>298</v>
      </c>
      <c r="J51" s="120" t="s">
        <v>299</v>
      </c>
      <c r="K51" s="120"/>
      <c r="L51" s="131">
        <v>500</v>
      </c>
      <c r="M51" s="124"/>
      <c r="N51" s="124"/>
      <c r="O51" s="124"/>
      <c r="P51" s="124"/>
      <c r="Q51" s="132">
        <f>SUM(L51:P51)</f>
        <v>500</v>
      </c>
      <c r="R51" s="132">
        <v>5000</v>
      </c>
      <c r="S51" s="124"/>
      <c r="T51" s="124"/>
      <c r="U51" s="132">
        <v>5000</v>
      </c>
      <c r="V51" s="124"/>
      <c r="W51" s="132">
        <f>SUM(R51:V51)</f>
        <v>10000</v>
      </c>
      <c r="X51" s="132">
        <v>10500</v>
      </c>
      <c r="Y51" s="124"/>
      <c r="Z51" s="124"/>
      <c r="AA51" s="132">
        <v>10500</v>
      </c>
      <c r="AB51" s="124"/>
      <c r="AC51" s="132">
        <f>SUM(X51:AB51)</f>
        <v>21000</v>
      </c>
      <c r="AD51" s="132">
        <v>12500</v>
      </c>
      <c r="AE51" s="132"/>
      <c r="AF51" s="132">
        <v>10000</v>
      </c>
      <c r="AG51" s="132">
        <v>12500</v>
      </c>
      <c r="AH51" s="124"/>
      <c r="AI51" s="400">
        <f>SUM(AD51:AH51)</f>
        <v>35000</v>
      </c>
      <c r="AJ51" s="313"/>
    </row>
    <row r="52" spans="1:37" s="82" customFormat="1" ht="15.75">
      <c r="A52" s="163"/>
      <c r="B52" s="123"/>
      <c r="C52" s="123"/>
      <c r="D52" s="123"/>
      <c r="E52" s="123"/>
      <c r="F52" s="123"/>
      <c r="G52" s="123"/>
      <c r="H52" s="123"/>
      <c r="I52" s="123"/>
      <c r="J52" s="123"/>
      <c r="K52" s="123"/>
      <c r="L52" s="125"/>
      <c r="M52" s="125"/>
      <c r="N52" s="125"/>
      <c r="O52" s="125"/>
      <c r="P52" s="125"/>
      <c r="Q52" s="133"/>
      <c r="R52" s="125"/>
      <c r="S52" s="125"/>
      <c r="T52" s="125"/>
      <c r="U52" s="125"/>
      <c r="V52" s="125"/>
      <c r="W52" s="133"/>
      <c r="X52" s="125"/>
      <c r="Y52" s="125"/>
      <c r="Z52" s="125"/>
      <c r="AA52" s="125"/>
      <c r="AB52" s="125"/>
      <c r="AC52" s="133"/>
      <c r="AD52" s="125"/>
      <c r="AE52" s="125"/>
      <c r="AF52" s="125"/>
      <c r="AG52" s="125"/>
      <c r="AH52" s="125"/>
      <c r="AI52" s="400">
        <f t="shared" si="5"/>
        <v>0</v>
      </c>
      <c r="AJ52" s="313"/>
    </row>
    <row r="53" spans="1:37" s="82" customFormat="1" ht="25.5">
      <c r="A53" s="162" t="s">
        <v>300</v>
      </c>
      <c r="B53" s="120"/>
      <c r="C53" s="120"/>
      <c r="D53" s="1164" t="s">
        <v>277</v>
      </c>
      <c r="E53" s="1164" t="s">
        <v>92</v>
      </c>
      <c r="F53" s="1164"/>
      <c r="G53" s="1164"/>
      <c r="H53" s="1164" t="s">
        <v>311</v>
      </c>
      <c r="I53" s="1173" t="s">
        <v>298</v>
      </c>
      <c r="J53" s="1164" t="s">
        <v>299</v>
      </c>
      <c r="K53" s="1164"/>
      <c r="L53" s="1156">
        <v>1000</v>
      </c>
      <c r="M53" s="1161"/>
      <c r="N53" s="1161"/>
      <c r="O53" s="1170"/>
      <c r="P53" s="1156">
        <v>500</v>
      </c>
      <c r="Q53" s="1156">
        <f>SUM(L53:P55)</f>
        <v>1500</v>
      </c>
      <c r="R53" s="1156">
        <v>6500</v>
      </c>
      <c r="S53" s="1161"/>
      <c r="T53" s="1161"/>
      <c r="U53" s="1156">
        <v>6500</v>
      </c>
      <c r="V53" s="1156">
        <v>500</v>
      </c>
      <c r="W53" s="1156">
        <f>SUM(R53:V55)</f>
        <v>13500</v>
      </c>
      <c r="X53" s="1156">
        <v>8500</v>
      </c>
      <c r="Y53" s="1161"/>
      <c r="Z53" s="1161"/>
      <c r="AA53" s="1156">
        <v>10000</v>
      </c>
      <c r="AB53" s="1156">
        <v>500</v>
      </c>
      <c r="AC53" s="1156">
        <f>SUM(X53:AB55)</f>
        <v>19000</v>
      </c>
      <c r="AD53" s="1156">
        <v>10000</v>
      </c>
      <c r="AE53" s="1161"/>
      <c r="AF53" s="1161"/>
      <c r="AG53" s="1156">
        <v>20000</v>
      </c>
      <c r="AH53" s="1156">
        <v>500</v>
      </c>
      <c r="AI53" s="400">
        <f>SUM(AD53:AH53)</f>
        <v>30500</v>
      </c>
      <c r="AJ53" s="319"/>
    </row>
    <row r="54" spans="1:37" s="82" customFormat="1" ht="25.5">
      <c r="A54" s="162" t="s">
        <v>301</v>
      </c>
      <c r="B54" s="120"/>
      <c r="C54" s="120"/>
      <c r="D54" s="1163"/>
      <c r="E54" s="1163"/>
      <c r="F54" s="1163"/>
      <c r="G54" s="1163"/>
      <c r="H54" s="1163"/>
      <c r="I54" s="1174"/>
      <c r="J54" s="1163"/>
      <c r="K54" s="1163"/>
      <c r="L54" s="1157"/>
      <c r="M54" s="1162"/>
      <c r="N54" s="1162"/>
      <c r="O54" s="1171"/>
      <c r="P54" s="1157"/>
      <c r="Q54" s="1157"/>
      <c r="R54" s="1157"/>
      <c r="S54" s="1162"/>
      <c r="T54" s="1162"/>
      <c r="U54" s="1157"/>
      <c r="V54" s="1157"/>
      <c r="W54" s="1157"/>
      <c r="X54" s="1157"/>
      <c r="Y54" s="1162"/>
      <c r="Z54" s="1162"/>
      <c r="AA54" s="1157"/>
      <c r="AB54" s="1157"/>
      <c r="AC54" s="1157"/>
      <c r="AD54" s="1157"/>
      <c r="AE54" s="1162"/>
      <c r="AF54" s="1162"/>
      <c r="AG54" s="1157"/>
      <c r="AH54" s="1159"/>
      <c r="AI54" s="400">
        <f t="shared" si="5"/>
        <v>0</v>
      </c>
      <c r="AJ54" s="319"/>
    </row>
    <row r="55" spans="1:37" s="82" customFormat="1" ht="15.75">
      <c r="A55" s="162" t="s">
        <v>302</v>
      </c>
      <c r="B55" s="120"/>
      <c r="C55" s="120"/>
      <c r="D55" s="1163"/>
      <c r="E55" s="1163"/>
      <c r="F55" s="1163"/>
      <c r="G55" s="1163"/>
      <c r="H55" s="1163"/>
      <c r="I55" s="1174"/>
      <c r="J55" s="1163"/>
      <c r="K55" s="1163"/>
      <c r="L55" s="1158"/>
      <c r="M55" s="1163"/>
      <c r="N55" s="1163"/>
      <c r="O55" s="1172"/>
      <c r="P55" s="1158"/>
      <c r="Q55" s="1157"/>
      <c r="R55" s="1158"/>
      <c r="S55" s="1163"/>
      <c r="T55" s="1163"/>
      <c r="U55" s="1158"/>
      <c r="V55" s="1158"/>
      <c r="W55" s="1157"/>
      <c r="X55" s="1158"/>
      <c r="Y55" s="1163"/>
      <c r="Z55" s="1163"/>
      <c r="AA55" s="1158"/>
      <c r="AB55" s="1158"/>
      <c r="AC55" s="1157"/>
      <c r="AD55" s="1158"/>
      <c r="AE55" s="1163"/>
      <c r="AF55" s="1163"/>
      <c r="AG55" s="1158"/>
      <c r="AH55" s="1160"/>
      <c r="AI55" s="400">
        <f t="shared" si="5"/>
        <v>0</v>
      </c>
      <c r="AJ55" s="313"/>
    </row>
    <row r="56" spans="1:37" s="82" customFormat="1" ht="15.75">
      <c r="A56" s="160" t="s">
        <v>303</v>
      </c>
      <c r="B56" s="120"/>
      <c r="C56" s="120"/>
      <c r="D56" s="120"/>
      <c r="E56" s="120"/>
      <c r="F56" s="120"/>
      <c r="G56" s="120"/>
      <c r="H56" s="120"/>
      <c r="I56" s="120"/>
      <c r="J56" s="120"/>
      <c r="K56" s="120"/>
      <c r="L56" s="124"/>
      <c r="M56" s="124"/>
      <c r="N56" s="124"/>
      <c r="O56" s="124"/>
      <c r="P56" s="124"/>
      <c r="Q56" s="134"/>
      <c r="R56" s="124"/>
      <c r="S56" s="124"/>
      <c r="T56" s="124"/>
      <c r="U56" s="124"/>
      <c r="V56" s="124"/>
      <c r="W56" s="124"/>
      <c r="X56" s="124"/>
      <c r="Y56" s="124"/>
      <c r="Z56" s="124"/>
      <c r="AA56" s="124"/>
      <c r="AB56" s="124"/>
      <c r="AC56" s="124"/>
      <c r="AD56" s="124"/>
      <c r="AE56" s="124"/>
      <c r="AF56" s="124"/>
      <c r="AG56" s="124"/>
      <c r="AH56" s="124"/>
      <c r="AI56" s="400">
        <f t="shared" si="5"/>
        <v>0</v>
      </c>
      <c r="AJ56" s="313"/>
    </row>
    <row r="57" spans="1:37" s="82" customFormat="1" ht="15.75">
      <c r="A57" s="160" t="s">
        <v>304</v>
      </c>
      <c r="B57" s="120"/>
      <c r="C57" s="120"/>
      <c r="D57" s="120"/>
      <c r="E57" s="120"/>
      <c r="F57" s="120"/>
      <c r="G57" s="120"/>
      <c r="H57" s="120"/>
      <c r="I57" s="120"/>
      <c r="J57" s="120"/>
      <c r="K57" s="120"/>
      <c r="L57" s="124"/>
      <c r="M57" s="124"/>
      <c r="N57" s="124"/>
      <c r="O57" s="124"/>
      <c r="P57" s="124"/>
      <c r="Q57" s="134"/>
      <c r="R57" s="124"/>
      <c r="S57" s="124"/>
      <c r="T57" s="124"/>
      <c r="U57" s="124"/>
      <c r="V57" s="124"/>
      <c r="W57" s="124"/>
      <c r="X57" s="124"/>
      <c r="Y57" s="124"/>
      <c r="Z57" s="124"/>
      <c r="AA57" s="124"/>
      <c r="AB57" s="124"/>
      <c r="AC57" s="124"/>
      <c r="AD57" s="124"/>
      <c r="AE57" s="124"/>
      <c r="AF57" s="124"/>
      <c r="AG57" s="124"/>
      <c r="AH57" s="124"/>
      <c r="AI57" s="400">
        <f t="shared" si="5"/>
        <v>0</v>
      </c>
      <c r="AJ57" s="313"/>
    </row>
    <row r="58" spans="1:37" s="82" customFormat="1" ht="15.75">
      <c r="A58" s="160" t="s">
        <v>292</v>
      </c>
      <c r="B58" s="120"/>
      <c r="C58" s="120"/>
      <c r="D58" s="120"/>
      <c r="E58" s="120"/>
      <c r="F58" s="120"/>
      <c r="G58" s="120"/>
      <c r="H58" s="120"/>
      <c r="I58" s="120"/>
      <c r="J58" s="120"/>
      <c r="K58" s="120"/>
      <c r="L58" s="120"/>
      <c r="M58" s="120"/>
      <c r="N58" s="120"/>
      <c r="O58" s="120"/>
      <c r="P58" s="120"/>
      <c r="Q58" s="135"/>
      <c r="R58" s="120"/>
      <c r="S58" s="120"/>
      <c r="T58" s="120"/>
      <c r="U58" s="120"/>
      <c r="V58" s="120"/>
      <c r="W58" s="120"/>
      <c r="X58" s="120"/>
      <c r="Y58" s="120"/>
      <c r="Z58" s="120"/>
      <c r="AA58" s="120"/>
      <c r="AB58" s="120"/>
      <c r="AC58" s="120"/>
      <c r="AD58" s="120"/>
      <c r="AE58" s="120"/>
      <c r="AF58" s="120"/>
      <c r="AG58" s="120"/>
      <c r="AH58" s="120"/>
      <c r="AI58" s="400">
        <f t="shared" si="5"/>
        <v>0</v>
      </c>
      <c r="AJ58" s="313"/>
    </row>
    <row r="59" spans="1:37" s="82" customFormat="1" ht="15.75">
      <c r="A59" s="160" t="s">
        <v>293</v>
      </c>
      <c r="B59" s="120"/>
      <c r="C59" s="120"/>
      <c r="D59" s="120"/>
      <c r="E59" s="120"/>
      <c r="F59" s="120"/>
      <c r="G59" s="120"/>
      <c r="H59" s="120"/>
      <c r="I59" s="120"/>
      <c r="J59" s="120"/>
      <c r="K59" s="120"/>
      <c r="L59" s="120"/>
      <c r="M59" s="120"/>
      <c r="N59" s="120"/>
      <c r="O59" s="120"/>
      <c r="P59" s="120"/>
      <c r="Q59" s="135"/>
      <c r="R59" s="120"/>
      <c r="S59" s="120"/>
      <c r="T59" s="120"/>
      <c r="U59" s="120"/>
      <c r="V59" s="120"/>
      <c r="W59" s="120"/>
      <c r="X59" s="120"/>
      <c r="Y59" s="120"/>
      <c r="Z59" s="120"/>
      <c r="AA59" s="120"/>
      <c r="AB59" s="120"/>
      <c r="AC59" s="120"/>
      <c r="AD59" s="120"/>
      <c r="AE59" s="120"/>
      <c r="AF59" s="120"/>
      <c r="AG59" s="120"/>
      <c r="AH59" s="120"/>
      <c r="AI59" s="400">
        <f t="shared" si="5"/>
        <v>0</v>
      </c>
      <c r="AJ59" s="313"/>
    </row>
    <row r="60" spans="1:37" s="82" customFormat="1" ht="25.5">
      <c r="A60" s="162" t="s">
        <v>294</v>
      </c>
      <c r="B60" s="120"/>
      <c r="C60" s="120"/>
      <c r="D60" s="120"/>
      <c r="E60" s="120"/>
      <c r="F60" s="120"/>
      <c r="G60" s="120"/>
      <c r="H60" s="120"/>
      <c r="I60" s="120"/>
      <c r="J60" s="120"/>
      <c r="K60" s="120"/>
      <c r="L60" s="120"/>
      <c r="M60" s="120"/>
      <c r="N60" s="120"/>
      <c r="O60" s="120"/>
      <c r="P60" s="120"/>
      <c r="Q60" s="135"/>
      <c r="R60" s="120"/>
      <c r="S60" s="120"/>
      <c r="T60" s="120"/>
      <c r="U60" s="120"/>
      <c r="V60" s="120"/>
      <c r="W60" s="120"/>
      <c r="X60" s="120"/>
      <c r="Y60" s="120"/>
      <c r="Z60" s="120"/>
      <c r="AA60" s="120"/>
      <c r="AB60" s="120"/>
      <c r="AC60" s="120"/>
      <c r="AD60" s="120"/>
      <c r="AE60" s="120"/>
      <c r="AF60" s="120"/>
      <c r="AG60" s="120"/>
      <c r="AH60" s="120"/>
      <c r="AI60" s="400">
        <f t="shared" si="5"/>
        <v>0</v>
      </c>
      <c r="AJ60" s="313"/>
    </row>
    <row r="61" spans="1:37" s="82" customFormat="1" ht="15.75">
      <c r="A61" s="162" t="s">
        <v>295</v>
      </c>
      <c r="B61" s="120"/>
      <c r="C61" s="120"/>
      <c r="D61" s="120"/>
      <c r="E61" s="120"/>
      <c r="F61" s="120"/>
      <c r="G61" s="120"/>
      <c r="H61" s="120"/>
      <c r="I61" s="120"/>
      <c r="J61" s="120"/>
      <c r="K61" s="120"/>
      <c r="L61" s="120"/>
      <c r="M61" s="120"/>
      <c r="N61" s="120"/>
      <c r="O61" s="120"/>
      <c r="P61" s="120"/>
      <c r="Q61" s="135"/>
      <c r="R61" s="120"/>
      <c r="S61" s="120"/>
      <c r="T61" s="120"/>
      <c r="U61" s="120"/>
      <c r="V61" s="120"/>
      <c r="W61" s="120"/>
      <c r="X61" s="120"/>
      <c r="Y61" s="120"/>
      <c r="Z61" s="120"/>
      <c r="AA61" s="120"/>
      <c r="AB61" s="120"/>
      <c r="AC61" s="120"/>
      <c r="AD61" s="120"/>
      <c r="AE61" s="120"/>
      <c r="AF61" s="120"/>
      <c r="AG61" s="120"/>
      <c r="AH61" s="120"/>
      <c r="AI61" s="400">
        <f t="shared" si="5"/>
        <v>0</v>
      </c>
      <c r="AJ61" s="313"/>
    </row>
    <row r="62" spans="1:37" s="82" customFormat="1" ht="25.5">
      <c r="A62" s="160" t="s">
        <v>305</v>
      </c>
      <c r="B62" s="120"/>
      <c r="C62" s="120"/>
      <c r="D62" s="120"/>
      <c r="E62" s="120"/>
      <c r="F62" s="120"/>
      <c r="G62" s="120"/>
      <c r="H62" s="120"/>
      <c r="I62" s="120"/>
      <c r="J62" s="120"/>
      <c r="K62" s="120"/>
      <c r="L62" s="120"/>
      <c r="M62" s="120"/>
      <c r="N62" s="120"/>
      <c r="O62" s="120"/>
      <c r="P62" s="120"/>
      <c r="Q62" s="135"/>
      <c r="R62" s="120"/>
      <c r="S62" s="120"/>
      <c r="T62" s="120"/>
      <c r="U62" s="120"/>
      <c r="V62" s="120"/>
      <c r="W62" s="120"/>
      <c r="X62" s="120"/>
      <c r="Y62" s="120"/>
      <c r="Z62" s="120"/>
      <c r="AA62" s="120"/>
      <c r="AB62" s="120"/>
      <c r="AC62" s="120"/>
      <c r="AD62" s="120"/>
      <c r="AE62" s="120"/>
      <c r="AF62" s="120"/>
      <c r="AG62" s="120"/>
      <c r="AH62" s="120"/>
      <c r="AI62" s="400">
        <f t="shared" si="5"/>
        <v>0</v>
      </c>
      <c r="AJ62" s="313"/>
    </row>
    <row r="63" spans="1:37" s="82" customFormat="1" ht="15.75">
      <c r="A63" s="161" t="s">
        <v>306</v>
      </c>
      <c r="B63" s="123"/>
      <c r="C63" s="123"/>
      <c r="D63" s="123"/>
      <c r="E63" s="123"/>
      <c r="F63" s="123"/>
      <c r="G63" s="123"/>
      <c r="H63" s="123"/>
      <c r="I63" s="123"/>
      <c r="J63" s="123"/>
      <c r="K63" s="123"/>
      <c r="L63" s="123"/>
      <c r="M63" s="123"/>
      <c r="N63" s="123"/>
      <c r="O63" s="123"/>
      <c r="P63" s="123"/>
      <c r="Q63" s="136"/>
      <c r="R63" s="123"/>
      <c r="S63" s="123"/>
      <c r="T63" s="123"/>
      <c r="U63" s="123"/>
      <c r="V63" s="123"/>
      <c r="W63" s="123"/>
      <c r="X63" s="123"/>
      <c r="Y63" s="123"/>
      <c r="Z63" s="123"/>
      <c r="AA63" s="123"/>
      <c r="AB63" s="123"/>
      <c r="AC63" s="123"/>
      <c r="AD63" s="123"/>
      <c r="AE63" s="123"/>
      <c r="AF63" s="123"/>
      <c r="AG63" s="123"/>
      <c r="AH63" s="123"/>
      <c r="AI63" s="400">
        <f t="shared" si="5"/>
        <v>0</v>
      </c>
      <c r="AJ63" s="313"/>
    </row>
    <row r="64" spans="1:37" s="82" customFormat="1" ht="63.75">
      <c r="A64" s="164" t="s">
        <v>307</v>
      </c>
      <c r="B64" s="1164"/>
      <c r="C64" s="126"/>
      <c r="D64" s="126" t="s">
        <v>277</v>
      </c>
      <c r="E64" s="126" t="s">
        <v>95</v>
      </c>
      <c r="F64" s="126" t="s">
        <v>96</v>
      </c>
      <c r="G64" s="126"/>
      <c r="H64" s="126" t="s">
        <v>311</v>
      </c>
      <c r="I64" s="126" t="s">
        <v>308</v>
      </c>
      <c r="J64" s="126" t="s">
        <v>299</v>
      </c>
      <c r="K64" s="126"/>
      <c r="L64" s="320"/>
      <c r="M64" s="129"/>
      <c r="N64" s="129"/>
      <c r="O64" s="129"/>
      <c r="P64" s="129"/>
      <c r="Q64" s="320"/>
      <c r="R64" s="320">
        <v>56778</v>
      </c>
      <c r="S64" s="129"/>
      <c r="T64" s="129"/>
      <c r="U64" s="129"/>
      <c r="V64" s="129"/>
      <c r="W64" s="320">
        <v>56778</v>
      </c>
      <c r="X64" s="129"/>
      <c r="Y64" s="129"/>
      <c r="Z64" s="129"/>
      <c r="AA64" s="129"/>
      <c r="AB64" s="129"/>
      <c r="AC64" s="320"/>
      <c r="AD64" s="129"/>
      <c r="AE64" s="129"/>
      <c r="AF64" s="129"/>
      <c r="AG64" s="129"/>
      <c r="AH64" s="129"/>
      <c r="AI64" s="400">
        <f t="shared" si="5"/>
        <v>0</v>
      </c>
      <c r="AJ64" s="314"/>
      <c r="AK64" s="395">
        <f>SUM(AD65:AH65)</f>
        <v>65500</v>
      </c>
    </row>
    <row r="65" spans="1:37" s="82" customFormat="1" ht="15.75">
      <c r="A65" s="163" t="s">
        <v>690</v>
      </c>
      <c r="B65" s="1165"/>
      <c r="C65" s="126"/>
      <c r="D65" s="126"/>
      <c r="E65" s="126"/>
      <c r="F65" s="126"/>
      <c r="G65" s="126"/>
      <c r="H65" s="126"/>
      <c r="I65" s="126"/>
      <c r="J65" s="126"/>
      <c r="K65" s="126"/>
      <c r="L65" s="321">
        <v>1500</v>
      </c>
      <c r="M65" s="126"/>
      <c r="N65" s="126"/>
      <c r="O65" s="126"/>
      <c r="P65" s="322">
        <v>500</v>
      </c>
      <c r="Q65" s="321">
        <v>1500</v>
      </c>
      <c r="R65" s="321">
        <v>63778</v>
      </c>
      <c r="S65" s="126"/>
      <c r="T65" s="126"/>
      <c r="U65" s="126"/>
      <c r="V65" s="322">
        <v>500</v>
      </c>
      <c r="W65" s="321">
        <v>75778</v>
      </c>
      <c r="X65" s="321">
        <v>19000</v>
      </c>
      <c r="Y65" s="322"/>
      <c r="Z65" s="322"/>
      <c r="AA65" s="321">
        <v>25500</v>
      </c>
      <c r="AB65" s="322">
        <v>500</v>
      </c>
      <c r="AC65" s="321">
        <v>39500</v>
      </c>
      <c r="AD65" s="321">
        <v>22500</v>
      </c>
      <c r="AE65" s="322"/>
      <c r="AF65" s="321">
        <v>10000</v>
      </c>
      <c r="AG65" s="321">
        <v>32500</v>
      </c>
      <c r="AH65" s="322">
        <v>500</v>
      </c>
      <c r="AI65" s="323">
        <v>55000</v>
      </c>
      <c r="AJ65" s="324">
        <v>183278</v>
      </c>
    </row>
    <row r="66" spans="1:37" s="82" customFormat="1" ht="15.75">
      <c r="A66" s="390"/>
      <c r="B66" s="391"/>
      <c r="C66" s="391"/>
      <c r="D66" s="391"/>
      <c r="E66" s="391"/>
      <c r="F66" s="391"/>
      <c r="G66" s="391"/>
      <c r="H66" s="391"/>
      <c r="I66" s="391"/>
      <c r="J66" s="391"/>
      <c r="K66" s="391"/>
      <c r="L66" s="392">
        <f>SUM(L36:L64)</f>
        <v>1500</v>
      </c>
      <c r="M66" s="392">
        <f t="shared" ref="M66:AF66" si="6">SUM(M36:M64)</f>
        <v>0</v>
      </c>
      <c r="N66" s="392">
        <f t="shared" si="6"/>
        <v>0</v>
      </c>
      <c r="O66" s="392">
        <f t="shared" si="6"/>
        <v>0</v>
      </c>
      <c r="P66" s="392">
        <f t="shared" si="6"/>
        <v>500</v>
      </c>
      <c r="Q66" s="392">
        <f>SUM(Q36:Q64)</f>
        <v>2000</v>
      </c>
      <c r="R66" s="392">
        <f t="shared" si="6"/>
        <v>68278</v>
      </c>
      <c r="S66" s="392">
        <f t="shared" si="6"/>
        <v>0</v>
      </c>
      <c r="T66" s="392">
        <f t="shared" si="6"/>
        <v>0</v>
      </c>
      <c r="U66" s="392">
        <f t="shared" si="6"/>
        <v>11500</v>
      </c>
      <c r="V66" s="392">
        <f t="shared" si="6"/>
        <v>500</v>
      </c>
      <c r="W66" s="392">
        <f>SUM(W36:W64)</f>
        <v>80278</v>
      </c>
      <c r="X66" s="392">
        <f>SUM(X36:X64)</f>
        <v>19000</v>
      </c>
      <c r="Y66" s="392">
        <f t="shared" si="6"/>
        <v>0</v>
      </c>
      <c r="Z66" s="392">
        <f t="shared" si="6"/>
        <v>0</v>
      </c>
      <c r="AA66" s="392">
        <f t="shared" si="6"/>
        <v>20500</v>
      </c>
      <c r="AB66" s="392">
        <f t="shared" si="6"/>
        <v>500</v>
      </c>
      <c r="AC66" s="392">
        <f>SUM(AC36:AC64)</f>
        <v>40000</v>
      </c>
      <c r="AD66" s="392">
        <f t="shared" si="6"/>
        <v>22500</v>
      </c>
      <c r="AE66" s="392">
        <f t="shared" si="6"/>
        <v>0</v>
      </c>
      <c r="AF66" s="392">
        <f t="shared" si="6"/>
        <v>10000</v>
      </c>
      <c r="AG66" s="392">
        <f>SUM(AG36:AG64)</f>
        <v>32500</v>
      </c>
      <c r="AH66" s="392">
        <f>SUM(AH36:AH64)</f>
        <v>500</v>
      </c>
      <c r="AI66" s="392">
        <f>SUM(AI36:AI64)</f>
        <v>65500</v>
      </c>
      <c r="AJ66" s="393">
        <f>SUM(AI66+AC66+W66+Q66)</f>
        <v>187778</v>
      </c>
      <c r="AK66" s="394"/>
    </row>
    <row r="67" spans="1:37">
      <c r="A67" s="137"/>
      <c r="B67" s="137"/>
      <c r="C67" s="137"/>
      <c r="D67" s="137"/>
      <c r="E67" s="137"/>
      <c r="F67" s="137"/>
      <c r="G67" s="137"/>
      <c r="H67" s="137"/>
      <c r="I67" s="137"/>
      <c r="J67" s="137"/>
      <c r="K67" s="137"/>
      <c r="L67" s="137"/>
      <c r="M67" s="137"/>
      <c r="N67" s="137"/>
      <c r="O67" s="137"/>
      <c r="P67" s="137"/>
      <c r="Q67" s="409">
        <f>SUM(L66:P66)</f>
        <v>2000</v>
      </c>
      <c r="R67" s="137"/>
      <c r="S67" s="137"/>
      <c r="T67" s="137"/>
      <c r="U67" s="137"/>
      <c r="V67" s="137"/>
      <c r="W67" s="409">
        <f>SUM(R66:V66)</f>
        <v>80278</v>
      </c>
      <c r="X67" s="137"/>
      <c r="Y67" s="137"/>
      <c r="Z67" s="137"/>
      <c r="AA67" s="137"/>
      <c r="AB67" s="137"/>
      <c r="AC67" s="409">
        <f>SUM(X66:AB66)</f>
        <v>40000</v>
      </c>
      <c r="AD67" s="137"/>
      <c r="AE67" s="137"/>
      <c r="AF67" s="137"/>
      <c r="AG67" s="137"/>
      <c r="AH67" s="409">
        <f>SUM(AD66:AH66)</f>
        <v>65500</v>
      </c>
      <c r="AJ67" s="401">
        <f>AI65+AC65+W65+Q65</f>
        <v>171778</v>
      </c>
    </row>
    <row r="68" spans="1:37">
      <c r="A68" s="138" t="s">
        <v>312</v>
      </c>
      <c r="B68" s="33"/>
      <c r="C68" s="33"/>
      <c r="D68" s="33"/>
      <c r="E68" s="33"/>
      <c r="F68" s="33"/>
      <c r="G68" s="33"/>
      <c r="H68" s="33"/>
      <c r="I68" s="33"/>
      <c r="J68" s="33"/>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row>
    <row r="69" spans="1:37">
      <c r="A69" s="137"/>
      <c r="B69" s="1166"/>
      <c r="C69" s="1166"/>
      <c r="D69" s="1166"/>
      <c r="E69" s="1166"/>
      <c r="F69" s="1166"/>
      <c r="G69" s="1166"/>
      <c r="H69" s="1166"/>
      <c r="I69" s="1166"/>
      <c r="J69" s="84"/>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row>
    <row r="70" spans="1:37">
      <c r="A70" s="1167"/>
      <c r="B70" s="67"/>
      <c r="C70" s="67"/>
      <c r="D70" s="1014" t="s">
        <v>0</v>
      </c>
      <c r="E70" s="1014" t="s">
        <v>210</v>
      </c>
      <c r="F70" s="1020" t="s">
        <v>5</v>
      </c>
      <c r="G70" s="1021"/>
      <c r="H70" s="1014" t="s">
        <v>22</v>
      </c>
      <c r="I70" s="1014" t="s">
        <v>211</v>
      </c>
      <c r="J70" s="1014" t="s">
        <v>212</v>
      </c>
      <c r="K70" s="1014" t="s">
        <v>213</v>
      </c>
      <c r="L70" s="1154" t="s">
        <v>214</v>
      </c>
      <c r="M70" s="1154"/>
      <c r="N70" s="1154"/>
      <c r="O70" s="1154"/>
      <c r="P70" s="1154"/>
      <c r="Q70" s="1154"/>
      <c r="R70" s="1154"/>
      <c r="S70" s="1154"/>
      <c r="T70" s="1154"/>
      <c r="U70" s="1154"/>
      <c r="V70" s="1154"/>
      <c r="W70" s="1154"/>
      <c r="X70" s="1154"/>
      <c r="Y70" s="1154"/>
      <c r="Z70" s="1154"/>
      <c r="AA70" s="1154"/>
      <c r="AB70" s="1154"/>
      <c r="AC70" s="1154"/>
      <c r="AD70" s="1154"/>
      <c r="AE70" s="1154"/>
      <c r="AF70" s="1154"/>
      <c r="AG70" s="1154"/>
      <c r="AH70" s="1154"/>
    </row>
    <row r="71" spans="1:37" ht="47.25">
      <c r="A71" s="1168"/>
      <c r="B71" s="73" t="s">
        <v>215</v>
      </c>
      <c r="C71" s="73" t="s">
        <v>216</v>
      </c>
      <c r="D71" s="1015"/>
      <c r="E71" s="1015"/>
      <c r="F71" s="1008" t="s">
        <v>217</v>
      </c>
      <c r="G71" s="1008" t="s">
        <v>6</v>
      </c>
      <c r="H71" s="1015"/>
      <c r="I71" s="1015"/>
      <c r="J71" s="1015"/>
      <c r="K71" s="1015"/>
      <c r="L71" s="1151" t="s">
        <v>12</v>
      </c>
      <c r="M71" s="1152"/>
      <c r="N71" s="1152"/>
      <c r="O71" s="1152"/>
      <c r="P71" s="1152"/>
      <c r="Q71" s="1152"/>
      <c r="R71" s="1151" t="s">
        <v>13</v>
      </c>
      <c r="S71" s="1152"/>
      <c r="T71" s="1152"/>
      <c r="U71" s="1152"/>
      <c r="V71" s="1152"/>
      <c r="W71" s="1152"/>
      <c r="X71" s="1153" t="s">
        <v>14</v>
      </c>
      <c r="Y71" s="1154"/>
      <c r="Z71" s="1154"/>
      <c r="AA71" s="1154"/>
      <c r="AB71" s="1154"/>
      <c r="AC71" s="1155"/>
      <c r="AD71" s="1151" t="s">
        <v>15</v>
      </c>
      <c r="AE71" s="1152"/>
      <c r="AF71" s="1152"/>
      <c r="AG71" s="1152"/>
      <c r="AH71" s="1152"/>
      <c r="AI71" s="315" t="s">
        <v>688</v>
      </c>
      <c r="AJ71" s="315" t="s">
        <v>689</v>
      </c>
    </row>
    <row r="72" spans="1:37" ht="25.5">
      <c r="A72" s="1169"/>
      <c r="B72" s="74"/>
      <c r="C72" s="74"/>
      <c r="D72" s="1016"/>
      <c r="E72" s="1016"/>
      <c r="F72" s="1009"/>
      <c r="G72" s="1009"/>
      <c r="H72" s="1016"/>
      <c r="I72" s="1016"/>
      <c r="J72" s="1016"/>
      <c r="K72" s="1016"/>
      <c r="L72" s="85" t="s">
        <v>1</v>
      </c>
      <c r="M72" s="85" t="s">
        <v>9</v>
      </c>
      <c r="N72" s="85" t="s">
        <v>218</v>
      </c>
      <c r="O72" s="86" t="s">
        <v>17</v>
      </c>
      <c r="P72" s="86" t="s">
        <v>19</v>
      </c>
      <c r="Q72" s="86" t="s">
        <v>4</v>
      </c>
      <c r="R72" s="85" t="s">
        <v>1</v>
      </c>
      <c r="S72" s="85" t="s">
        <v>2</v>
      </c>
      <c r="T72" s="85" t="s">
        <v>219</v>
      </c>
      <c r="U72" s="85" t="s">
        <v>17</v>
      </c>
      <c r="V72" s="85" t="s">
        <v>19</v>
      </c>
      <c r="W72" s="85" t="s">
        <v>4</v>
      </c>
      <c r="X72" s="85" t="s">
        <v>1</v>
      </c>
      <c r="Y72" s="85" t="s">
        <v>9</v>
      </c>
      <c r="Z72" s="85" t="s">
        <v>218</v>
      </c>
      <c r="AA72" s="86" t="s">
        <v>17</v>
      </c>
      <c r="AB72" s="86" t="s">
        <v>19</v>
      </c>
      <c r="AC72" s="86" t="s">
        <v>4</v>
      </c>
      <c r="AD72" s="85" t="s">
        <v>1</v>
      </c>
      <c r="AE72" s="85" t="s">
        <v>9</v>
      </c>
      <c r="AF72" s="85" t="s">
        <v>219</v>
      </c>
      <c r="AG72" s="86" t="s">
        <v>17</v>
      </c>
      <c r="AH72" s="86" t="s">
        <v>19</v>
      </c>
      <c r="AI72" s="313"/>
      <c r="AJ72" s="316"/>
    </row>
    <row r="73" spans="1:37" ht="15.75">
      <c r="A73" s="87"/>
      <c r="B73" s="74" t="s">
        <v>33</v>
      </c>
      <c r="C73" s="74" t="s">
        <v>34</v>
      </c>
      <c r="D73" s="68" t="s">
        <v>45</v>
      </c>
      <c r="E73" s="72" t="s">
        <v>220</v>
      </c>
      <c r="F73" s="74" t="s">
        <v>36</v>
      </c>
      <c r="G73" s="74" t="s">
        <v>37</v>
      </c>
      <c r="H73" s="74" t="s">
        <v>38</v>
      </c>
      <c r="I73" s="74" t="s">
        <v>39</v>
      </c>
      <c r="J73" s="69" t="s">
        <v>40</v>
      </c>
      <c r="K73" s="69" t="s">
        <v>41</v>
      </c>
      <c r="L73" s="11" t="s">
        <v>221</v>
      </c>
      <c r="M73" s="11" t="s">
        <v>222</v>
      </c>
      <c r="N73" s="11" t="s">
        <v>223</v>
      </c>
      <c r="O73" s="69" t="s">
        <v>224</v>
      </c>
      <c r="P73" s="69" t="s">
        <v>225</v>
      </c>
      <c r="Q73" s="69" t="s">
        <v>226</v>
      </c>
      <c r="R73" s="69" t="s">
        <v>227</v>
      </c>
      <c r="S73" s="69" t="s">
        <v>228</v>
      </c>
      <c r="T73" s="69" t="s">
        <v>229</v>
      </c>
      <c r="U73" s="69" t="s">
        <v>230</v>
      </c>
      <c r="V73" s="11" t="s">
        <v>231</v>
      </c>
      <c r="W73" s="11" t="s">
        <v>232</v>
      </c>
      <c r="X73" s="11" t="s">
        <v>233</v>
      </c>
      <c r="Y73" s="69" t="s">
        <v>234</v>
      </c>
      <c r="Z73" s="69" t="s">
        <v>235</v>
      </c>
      <c r="AA73" s="11" t="s">
        <v>236</v>
      </c>
      <c r="AB73" s="11" t="s">
        <v>237</v>
      </c>
      <c r="AC73" s="11" t="s">
        <v>238</v>
      </c>
      <c r="AD73" s="69" t="s">
        <v>239</v>
      </c>
      <c r="AE73" s="69" t="s">
        <v>240</v>
      </c>
      <c r="AF73" s="69" t="s">
        <v>241</v>
      </c>
      <c r="AG73" s="69" t="s">
        <v>242</v>
      </c>
      <c r="AH73" s="69" t="s">
        <v>243</v>
      </c>
      <c r="AI73" s="313"/>
      <c r="AJ73" s="313"/>
    </row>
    <row r="74" spans="1:37" ht="25.5">
      <c r="A74" s="4" t="s">
        <v>313</v>
      </c>
      <c r="B74" s="6"/>
      <c r="C74" s="6"/>
      <c r="D74" s="88"/>
      <c r="E74" s="88"/>
      <c r="F74" s="89"/>
      <c r="G74" s="90"/>
      <c r="H74" s="25"/>
      <c r="I74" s="25"/>
      <c r="J74" s="90"/>
      <c r="K74" s="4"/>
      <c r="L74" s="1"/>
      <c r="M74" s="1"/>
      <c r="N74" s="1"/>
      <c r="O74" s="1"/>
      <c r="P74" s="1"/>
      <c r="Q74" s="408">
        <f>SUM(L74:P74)</f>
        <v>0</v>
      </c>
      <c r="R74" s="1"/>
      <c r="S74" s="1"/>
      <c r="T74" s="1"/>
      <c r="U74" s="1"/>
      <c r="V74" s="1"/>
      <c r="W74" s="2"/>
      <c r="X74" s="2"/>
      <c r="Y74" s="2"/>
      <c r="Z74" s="2"/>
      <c r="AA74" s="2"/>
      <c r="AB74" s="2"/>
      <c r="AC74" s="2"/>
      <c r="AD74" s="1"/>
      <c r="AE74" s="1"/>
      <c r="AF74" s="1"/>
      <c r="AG74" s="1"/>
      <c r="AH74" s="1"/>
      <c r="AI74" s="313"/>
      <c r="AJ74" s="313"/>
    </row>
    <row r="75" spans="1:37" ht="38.25">
      <c r="A75" s="4" t="s">
        <v>314</v>
      </c>
      <c r="B75" s="6"/>
      <c r="C75" s="6"/>
      <c r="D75" s="91"/>
      <c r="E75" s="91"/>
      <c r="F75" s="91"/>
      <c r="G75" s="92"/>
      <c r="H75" s="92"/>
      <c r="I75" s="92"/>
      <c r="J75" s="92"/>
      <c r="K75" s="4"/>
      <c r="L75" s="1"/>
      <c r="M75" s="1"/>
      <c r="N75" s="1"/>
      <c r="O75" s="1"/>
      <c r="P75" s="1"/>
      <c r="Q75" s="407"/>
      <c r="R75" s="1"/>
      <c r="S75" s="1"/>
      <c r="T75" s="1"/>
      <c r="U75" s="1"/>
      <c r="V75" s="1"/>
      <c r="W75" s="1"/>
      <c r="X75" s="1"/>
      <c r="Y75" s="1"/>
      <c r="Z75" s="1"/>
      <c r="AA75" s="1"/>
      <c r="AB75" s="1"/>
      <c r="AC75" s="1"/>
      <c r="AD75" s="1"/>
      <c r="AE75" s="1"/>
      <c r="AF75" s="1"/>
      <c r="AG75" s="1"/>
      <c r="AH75" s="1"/>
      <c r="AI75" s="313"/>
      <c r="AJ75" s="313"/>
    </row>
    <row r="76" spans="1:37" ht="38.25">
      <c r="A76" s="4" t="s">
        <v>315</v>
      </c>
      <c r="B76" s="6"/>
      <c r="C76" s="6"/>
      <c r="D76" s="88"/>
      <c r="E76" s="93"/>
      <c r="F76" s="94"/>
      <c r="G76" s="92"/>
      <c r="H76" s="90"/>
      <c r="I76" s="90"/>
      <c r="J76" s="90"/>
      <c r="K76" s="4"/>
      <c r="L76" s="1"/>
      <c r="M76" s="95"/>
      <c r="N76" s="1"/>
      <c r="O76" s="1"/>
      <c r="P76" s="1"/>
      <c r="Q76" s="396"/>
      <c r="R76" s="1"/>
      <c r="S76" s="1"/>
      <c r="T76" s="1"/>
      <c r="U76" s="1"/>
      <c r="V76" s="1"/>
      <c r="W76" s="1"/>
      <c r="X76" s="1"/>
      <c r="Y76" s="1"/>
      <c r="Z76" s="1"/>
      <c r="AA76" s="1"/>
      <c r="AB76" s="1"/>
      <c r="AC76" s="1"/>
      <c r="AD76" s="1"/>
      <c r="AE76" s="1"/>
      <c r="AF76" s="1"/>
      <c r="AG76" s="1"/>
      <c r="AH76" s="1"/>
      <c r="AI76" s="313"/>
      <c r="AJ76" s="313"/>
    </row>
    <row r="77" spans="1:37" ht="89.25">
      <c r="A77" s="4" t="s">
        <v>316</v>
      </c>
      <c r="B77" s="6"/>
      <c r="C77" s="6"/>
      <c r="D77" s="92"/>
      <c r="E77" s="92"/>
      <c r="F77" s="92"/>
      <c r="G77" s="92"/>
      <c r="H77" s="92"/>
      <c r="I77" s="92"/>
      <c r="J77" s="92"/>
      <c r="K77" s="4"/>
      <c r="L77" s="1"/>
      <c r="M77" s="1"/>
      <c r="N77" s="1"/>
      <c r="O77" s="1"/>
      <c r="P77" s="1"/>
      <c r="Q77" s="407"/>
      <c r="R77" s="1"/>
      <c r="S77" s="1"/>
      <c r="T77" s="1"/>
      <c r="U77" s="1"/>
      <c r="V77" s="1"/>
      <c r="W77" s="1"/>
      <c r="X77" s="1"/>
      <c r="Y77" s="1"/>
      <c r="Z77" s="1"/>
      <c r="AA77" s="1"/>
      <c r="AB77" s="1"/>
      <c r="AC77" s="1"/>
      <c r="AD77" s="1"/>
      <c r="AE77" s="1"/>
      <c r="AF77" s="1"/>
      <c r="AG77" s="1"/>
      <c r="AH77" s="1"/>
      <c r="AI77" s="313"/>
      <c r="AJ77" s="313"/>
    </row>
    <row r="78" spans="1:37" ht="25.5">
      <c r="A78" s="4" t="s">
        <v>317</v>
      </c>
      <c r="B78" s="6"/>
      <c r="C78" s="6"/>
      <c r="D78" s="92"/>
      <c r="E78" s="92"/>
      <c r="F78" s="92"/>
      <c r="G78" s="92"/>
      <c r="H78" s="92"/>
      <c r="I78" s="92"/>
      <c r="J78" s="92"/>
      <c r="K78" s="4"/>
      <c r="L78" s="1"/>
      <c r="M78" s="97"/>
      <c r="N78" s="1"/>
      <c r="O78" s="1"/>
      <c r="P78" s="1"/>
      <c r="Q78" s="407"/>
      <c r="R78" s="1"/>
      <c r="S78" s="1"/>
      <c r="T78" s="1"/>
      <c r="U78" s="1"/>
      <c r="V78" s="1"/>
      <c r="W78" s="1"/>
      <c r="X78" s="1"/>
      <c r="Y78" s="1"/>
      <c r="Z78" s="1"/>
      <c r="AA78" s="1"/>
      <c r="AB78" s="1"/>
      <c r="AC78" s="1"/>
      <c r="AD78" s="1"/>
      <c r="AE78" s="1"/>
      <c r="AF78" s="1"/>
      <c r="AG78" s="1"/>
      <c r="AH78" s="1"/>
      <c r="AI78" s="313"/>
      <c r="AJ78" s="313"/>
    </row>
    <row r="79" spans="1:37" ht="114.75">
      <c r="A79" s="4" t="s">
        <v>318</v>
      </c>
      <c r="B79" s="6"/>
      <c r="C79" s="6"/>
      <c r="D79" s="98" t="s">
        <v>79</v>
      </c>
      <c r="E79" s="4" t="s">
        <v>78</v>
      </c>
      <c r="F79" s="99" t="s">
        <v>80</v>
      </c>
      <c r="G79" s="92"/>
      <c r="H79" s="100" t="s">
        <v>309</v>
      </c>
      <c r="I79" s="4" t="s">
        <v>319</v>
      </c>
      <c r="J79" s="4" t="s">
        <v>320</v>
      </c>
      <c r="K79" s="4"/>
      <c r="L79" s="364">
        <v>120000</v>
      </c>
      <c r="M79" s="1"/>
      <c r="N79" s="1"/>
      <c r="O79" s="1"/>
      <c r="P79" s="1"/>
      <c r="Q79" s="407">
        <f>SUM(L79:P79)</f>
        <v>120000</v>
      </c>
      <c r="R79" s="364">
        <v>126000</v>
      </c>
      <c r="S79" s="1"/>
      <c r="T79" s="1"/>
      <c r="U79" s="1"/>
      <c r="V79" s="1"/>
      <c r="W79" s="410">
        <f>SUM(R79:V79)</f>
        <v>126000</v>
      </c>
      <c r="X79" s="364">
        <v>132300</v>
      </c>
      <c r="Y79" s="1"/>
      <c r="Z79" s="1"/>
      <c r="AA79" s="1"/>
      <c r="AB79" s="1"/>
      <c r="AC79" s="410">
        <f>SUM(X79:AB79)</f>
        <v>132300</v>
      </c>
      <c r="AD79" s="403">
        <v>138920</v>
      </c>
      <c r="AE79" s="1"/>
      <c r="AF79" s="1"/>
      <c r="AG79" s="1"/>
      <c r="AH79" s="1"/>
      <c r="AI79" s="399">
        <f>SUM(AD79:AH79)</f>
        <v>138920</v>
      </c>
      <c r="AJ79" s="313"/>
    </row>
    <row r="80" spans="1:37" ht="216.75">
      <c r="A80" s="4" t="s">
        <v>321</v>
      </c>
      <c r="B80" s="4"/>
      <c r="C80" s="4"/>
      <c r="D80" s="98" t="s">
        <v>79</v>
      </c>
      <c r="E80" s="4" t="s">
        <v>322</v>
      </c>
      <c r="F80" s="99" t="s">
        <v>80</v>
      </c>
      <c r="G80" s="92"/>
      <c r="H80" s="100" t="s">
        <v>309</v>
      </c>
      <c r="I80" s="4" t="s">
        <v>319</v>
      </c>
      <c r="J80" s="4" t="s">
        <v>320</v>
      </c>
      <c r="K80" s="13"/>
      <c r="L80" s="365">
        <v>14000</v>
      </c>
      <c r="M80" s="101"/>
      <c r="N80" s="101"/>
      <c r="O80" s="101"/>
      <c r="P80" s="101"/>
      <c r="Q80" s="407">
        <f>SUM(L80:P80)</f>
        <v>14000</v>
      </c>
      <c r="R80" s="365">
        <v>50000</v>
      </c>
      <c r="S80" s="101"/>
      <c r="T80" s="101"/>
      <c r="U80" s="101"/>
      <c r="V80" s="101"/>
      <c r="W80" s="410">
        <f>SUM(R80:V80)</f>
        <v>50000</v>
      </c>
      <c r="X80" s="365">
        <v>100000</v>
      </c>
      <c r="Y80" s="101"/>
      <c r="Z80" s="101"/>
      <c r="AA80" s="101"/>
      <c r="AB80" s="101"/>
      <c r="AC80" s="410">
        <f>SUM(X80:AB80)</f>
        <v>100000</v>
      </c>
      <c r="AD80" s="402">
        <v>100</v>
      </c>
      <c r="AE80" s="101"/>
      <c r="AF80" s="101"/>
      <c r="AG80" s="101"/>
      <c r="AH80" s="101"/>
      <c r="AI80" s="399">
        <f>SUM(AD80:AH80)</f>
        <v>100</v>
      </c>
      <c r="AJ80" s="313"/>
    </row>
    <row r="81" spans="1:36" ht="127.5">
      <c r="A81" s="4" t="s">
        <v>323</v>
      </c>
      <c r="B81" s="4"/>
      <c r="C81" s="4"/>
      <c r="D81" s="90" t="s">
        <v>324</v>
      </c>
      <c r="E81" s="4" t="s">
        <v>325</v>
      </c>
      <c r="F81" s="99" t="s">
        <v>326</v>
      </c>
      <c r="G81" s="92"/>
      <c r="H81" s="100" t="s">
        <v>309</v>
      </c>
      <c r="I81" s="4" t="s">
        <v>319</v>
      </c>
      <c r="J81" s="4" t="s">
        <v>320</v>
      </c>
      <c r="K81" s="4"/>
      <c r="L81" s="365">
        <v>10000</v>
      </c>
      <c r="M81" s="101"/>
      <c r="N81" s="101"/>
      <c r="O81" s="101"/>
      <c r="P81" s="101"/>
      <c r="Q81" s="407">
        <f>SUM(L81:P81)</f>
        <v>10000</v>
      </c>
      <c r="R81" s="365">
        <v>5000</v>
      </c>
      <c r="S81" s="101"/>
      <c r="T81" s="101"/>
      <c r="U81" s="101"/>
      <c r="V81" s="101"/>
      <c r="W81" s="410">
        <f>SUM(R81:V81)</f>
        <v>5000</v>
      </c>
      <c r="X81" s="365">
        <v>5000</v>
      </c>
      <c r="Y81" s="101"/>
      <c r="Z81" s="101"/>
      <c r="AA81" s="101"/>
      <c r="AB81" s="101"/>
      <c r="AC81" s="410">
        <f>SUM(X81:AB81)</f>
        <v>5000</v>
      </c>
      <c r="AD81" s="402">
        <v>5000</v>
      </c>
      <c r="AE81" s="101"/>
      <c r="AF81" s="101"/>
      <c r="AG81" s="101"/>
      <c r="AH81" s="101"/>
      <c r="AI81" s="399">
        <f>SUM(AD81:AH81)</f>
        <v>5000</v>
      </c>
      <c r="AJ81" s="313"/>
    </row>
    <row r="82" spans="1:36" ht="25.5">
      <c r="A82" s="4" t="s">
        <v>327</v>
      </c>
      <c r="B82" s="4"/>
      <c r="C82" s="4"/>
      <c r="D82" s="6"/>
      <c r="E82" s="6"/>
      <c r="F82" s="92"/>
      <c r="G82" s="6"/>
      <c r="H82" s="6"/>
      <c r="I82" s="6"/>
      <c r="J82" s="6"/>
      <c r="K82" s="4"/>
      <c r="L82" s="101"/>
      <c r="M82" s="101"/>
      <c r="N82" s="101"/>
      <c r="O82" s="101"/>
      <c r="P82" s="101"/>
      <c r="Q82" s="406">
        <f>SUM(L82:P82)</f>
        <v>0</v>
      </c>
      <c r="R82" s="101"/>
      <c r="S82" s="101"/>
      <c r="T82" s="101"/>
      <c r="U82" s="101"/>
      <c r="V82" s="101"/>
      <c r="W82" s="410">
        <f>SUM(R82:V82)</f>
        <v>0</v>
      </c>
      <c r="X82" s="101"/>
      <c r="Y82" s="101"/>
      <c r="Z82" s="101"/>
      <c r="AA82" s="101"/>
      <c r="AB82" s="101"/>
      <c r="AC82" s="410">
        <f>SUM(X82:AB82)</f>
        <v>0</v>
      </c>
      <c r="AD82" s="402"/>
      <c r="AE82" s="101"/>
      <c r="AF82" s="101"/>
      <c r="AG82" s="101"/>
      <c r="AH82" s="101"/>
      <c r="AI82" s="399">
        <f>SUM(AD82:AH82)</f>
        <v>0</v>
      </c>
      <c r="AJ82" s="313"/>
    </row>
    <row r="83" spans="1:36" ht="242.25">
      <c r="A83" s="4" t="s">
        <v>328</v>
      </c>
      <c r="B83" s="6"/>
      <c r="C83" s="6"/>
      <c r="D83" s="90" t="s">
        <v>329</v>
      </c>
      <c r="E83" s="4" t="s">
        <v>330</v>
      </c>
      <c r="F83" s="99" t="s">
        <v>80</v>
      </c>
      <c r="G83" s="100"/>
      <c r="H83" s="100" t="s">
        <v>309</v>
      </c>
      <c r="I83" s="4" t="s">
        <v>319</v>
      </c>
      <c r="J83" s="4" t="s">
        <v>320</v>
      </c>
      <c r="K83" s="4"/>
      <c r="L83" s="365">
        <v>15000</v>
      </c>
      <c r="M83" s="101"/>
      <c r="N83" s="101"/>
      <c r="O83" s="101"/>
      <c r="P83" s="101"/>
      <c r="Q83" s="406">
        <f>SUM(L83:P83)</f>
        <v>15000</v>
      </c>
      <c r="R83" s="365">
        <v>10000</v>
      </c>
      <c r="S83" s="101"/>
      <c r="T83" s="101"/>
      <c r="U83" s="101"/>
      <c r="V83" s="101"/>
      <c r="W83" s="410">
        <f>SUM(R83:V83)</f>
        <v>10000</v>
      </c>
      <c r="X83" s="365">
        <v>10000</v>
      </c>
      <c r="Y83" s="101"/>
      <c r="Z83" s="101"/>
      <c r="AA83" s="101"/>
      <c r="AB83" s="101"/>
      <c r="AC83" s="410">
        <f>SUM(X83:AB83)</f>
        <v>10000</v>
      </c>
      <c r="AD83" s="402">
        <v>5000</v>
      </c>
      <c r="AE83" s="101"/>
      <c r="AF83" s="101"/>
      <c r="AG83" s="101"/>
      <c r="AH83" s="101"/>
      <c r="AI83" s="399">
        <f>SUM(AD83:AH83)</f>
        <v>5000</v>
      </c>
      <c r="AJ83" s="313"/>
    </row>
    <row r="84" spans="1:36" ht="68.25" customHeight="1">
      <c r="A84" s="4" t="s">
        <v>331</v>
      </c>
      <c r="B84" s="6"/>
      <c r="C84" s="6"/>
      <c r="D84" s="91"/>
      <c r="E84" s="91"/>
      <c r="F84" s="91"/>
      <c r="G84" s="92"/>
      <c r="H84" s="92"/>
      <c r="I84" s="92"/>
      <c r="J84" s="92"/>
      <c r="K84" s="4"/>
      <c r="L84" s="1"/>
      <c r="M84" s="1"/>
      <c r="N84" s="1"/>
      <c r="O84" s="1"/>
      <c r="P84" s="1"/>
      <c r="Q84" s="407"/>
      <c r="R84" s="1"/>
      <c r="S84" s="1"/>
      <c r="T84" s="1"/>
      <c r="U84" s="1"/>
      <c r="V84" s="1"/>
      <c r="W84" s="1"/>
      <c r="X84" s="1"/>
      <c r="Y84" s="1"/>
      <c r="Z84" s="1"/>
      <c r="AA84" s="1"/>
      <c r="AB84" s="1"/>
      <c r="AC84" s="1"/>
      <c r="AD84" s="403"/>
      <c r="AE84" s="1"/>
      <c r="AF84" s="1"/>
      <c r="AG84" s="1"/>
      <c r="AH84" s="1"/>
      <c r="AI84" s="313"/>
      <c r="AJ84" s="313"/>
    </row>
    <row r="85" spans="1:36" ht="86.25" customHeight="1">
      <c r="A85" s="13" t="s">
        <v>332</v>
      </c>
      <c r="B85" s="6"/>
      <c r="C85" s="6"/>
      <c r="D85" s="92"/>
      <c r="E85" s="92"/>
      <c r="F85" s="92"/>
      <c r="G85" s="92"/>
      <c r="H85" s="92"/>
      <c r="I85" s="92"/>
      <c r="J85" s="92"/>
      <c r="K85" s="4"/>
      <c r="L85" s="1"/>
      <c r="M85" s="1"/>
      <c r="N85" s="1"/>
      <c r="O85" s="1"/>
      <c r="P85" s="1"/>
      <c r="Q85" s="407"/>
      <c r="R85" s="1"/>
      <c r="S85" s="1"/>
      <c r="T85" s="1"/>
      <c r="U85" s="1"/>
      <c r="V85" s="1"/>
      <c r="W85" s="1"/>
      <c r="X85" s="1"/>
      <c r="Y85" s="1"/>
      <c r="Z85" s="1"/>
      <c r="AA85" s="1"/>
      <c r="AB85" s="1"/>
      <c r="AC85" s="1"/>
      <c r="AD85" s="403"/>
      <c r="AE85" s="1"/>
      <c r="AF85" s="1"/>
      <c r="AG85" s="1"/>
      <c r="AH85" s="1"/>
      <c r="AI85" s="313"/>
      <c r="AJ85" s="313"/>
    </row>
    <row r="86" spans="1:36" ht="63.75">
      <c r="A86" s="4" t="s">
        <v>333</v>
      </c>
      <c r="B86" s="6"/>
      <c r="C86" s="6"/>
      <c r="D86" s="1137" t="s">
        <v>334</v>
      </c>
      <c r="E86" s="1137" t="s">
        <v>335</v>
      </c>
      <c r="F86" s="1141" t="s">
        <v>80</v>
      </c>
      <c r="G86" s="1144"/>
      <c r="H86" s="70" t="s">
        <v>395</v>
      </c>
      <c r="I86" s="1137" t="s">
        <v>336</v>
      </c>
      <c r="J86" s="1147" t="s">
        <v>320</v>
      </c>
      <c r="K86" s="1064"/>
      <c r="L86" s="1068">
        <v>18000</v>
      </c>
      <c r="M86" s="1064"/>
      <c r="N86" s="1064"/>
      <c r="O86" s="1064"/>
      <c r="P86" s="1064"/>
      <c r="Q86" s="1065">
        <f>SUM(L86:P89)</f>
        <v>18000</v>
      </c>
      <c r="R86" s="1068">
        <v>26550</v>
      </c>
      <c r="S86" s="1064"/>
      <c r="T86" s="1064"/>
      <c r="U86" s="1064"/>
      <c r="V86" s="1064"/>
      <c r="W86" s="1065">
        <f>SUM(R86:V89)</f>
        <v>26550</v>
      </c>
      <c r="X86" s="1068">
        <v>29300</v>
      </c>
      <c r="Y86" s="1064"/>
      <c r="Z86" s="1064"/>
      <c r="AA86" s="1064"/>
      <c r="AB86" s="1064"/>
      <c r="AC86" s="1058">
        <f>SUM(X86:AB89)</f>
        <v>29300</v>
      </c>
      <c r="AD86" s="1061">
        <v>29300</v>
      </c>
      <c r="AE86" s="1064"/>
      <c r="AF86" s="1064"/>
      <c r="AG86" s="1064"/>
      <c r="AH86" s="1064"/>
      <c r="AI86" s="411">
        <f>SUM(AD86:AH89)</f>
        <v>29300</v>
      </c>
      <c r="AJ86" s="313"/>
    </row>
    <row r="87" spans="1:36" ht="25.5">
      <c r="A87" s="4" t="s">
        <v>337</v>
      </c>
      <c r="B87" s="6"/>
      <c r="C87" s="6"/>
      <c r="D87" s="1138"/>
      <c r="E87" s="1139"/>
      <c r="F87" s="1142"/>
      <c r="G87" s="1145"/>
      <c r="H87" s="71"/>
      <c r="I87" s="1139"/>
      <c r="J87" s="1148"/>
      <c r="K87" s="1059"/>
      <c r="L87" s="1069"/>
      <c r="M87" s="1059"/>
      <c r="N87" s="1059"/>
      <c r="O87" s="1059"/>
      <c r="P87" s="1059"/>
      <c r="Q87" s="1066"/>
      <c r="R87" s="1069"/>
      <c r="S87" s="1059"/>
      <c r="T87" s="1059"/>
      <c r="U87" s="1059"/>
      <c r="V87" s="1059"/>
      <c r="W87" s="1066"/>
      <c r="X87" s="1069"/>
      <c r="Y87" s="1059"/>
      <c r="Z87" s="1059"/>
      <c r="AA87" s="1059"/>
      <c r="AB87" s="1059"/>
      <c r="AC87" s="1059"/>
      <c r="AD87" s="1062"/>
      <c r="AE87" s="1059"/>
      <c r="AF87" s="1059"/>
      <c r="AG87" s="1059"/>
      <c r="AH87" s="1059"/>
      <c r="AI87" s="313"/>
      <c r="AJ87" s="313"/>
    </row>
    <row r="88" spans="1:36" ht="25.5">
      <c r="A88" s="4" t="s">
        <v>338</v>
      </c>
      <c r="B88" s="4"/>
      <c r="C88" s="4"/>
      <c r="D88" s="1137" t="s">
        <v>334</v>
      </c>
      <c r="E88" s="1139"/>
      <c r="F88" s="1142"/>
      <c r="G88" s="1145"/>
      <c r="H88" s="71"/>
      <c r="I88" s="1139"/>
      <c r="J88" s="1148"/>
      <c r="K88" s="1059"/>
      <c r="L88" s="1069"/>
      <c r="M88" s="1059"/>
      <c r="N88" s="1059"/>
      <c r="O88" s="1059"/>
      <c r="P88" s="1059"/>
      <c r="Q88" s="1066"/>
      <c r="R88" s="1069"/>
      <c r="S88" s="1059"/>
      <c r="T88" s="1059"/>
      <c r="U88" s="1059"/>
      <c r="V88" s="1059"/>
      <c r="W88" s="1066"/>
      <c r="X88" s="1069"/>
      <c r="Y88" s="1059"/>
      <c r="Z88" s="1059"/>
      <c r="AA88" s="1059"/>
      <c r="AB88" s="1059"/>
      <c r="AC88" s="1059"/>
      <c r="AD88" s="1062"/>
      <c r="AE88" s="1059"/>
      <c r="AF88" s="1059"/>
      <c r="AG88" s="1059"/>
      <c r="AH88" s="1059"/>
      <c r="AI88" s="313"/>
      <c r="AJ88" s="313"/>
    </row>
    <row r="89" spans="1:36" ht="60" customHeight="1">
      <c r="A89" s="4" t="s">
        <v>337</v>
      </c>
      <c r="B89" s="6"/>
      <c r="C89" s="6"/>
      <c r="D89" s="1150"/>
      <c r="E89" s="1140"/>
      <c r="F89" s="1143"/>
      <c r="G89" s="1146"/>
      <c r="H89" s="165"/>
      <c r="I89" s="1140"/>
      <c r="J89" s="1149"/>
      <c r="K89" s="1060"/>
      <c r="L89" s="1070"/>
      <c r="M89" s="1060"/>
      <c r="N89" s="1060"/>
      <c r="O89" s="1060"/>
      <c r="P89" s="1060"/>
      <c r="Q89" s="1067"/>
      <c r="R89" s="1070"/>
      <c r="S89" s="1060"/>
      <c r="T89" s="1060"/>
      <c r="U89" s="1060"/>
      <c r="V89" s="1060"/>
      <c r="W89" s="1067"/>
      <c r="X89" s="1070"/>
      <c r="Y89" s="1060"/>
      <c r="Z89" s="1060"/>
      <c r="AA89" s="1060"/>
      <c r="AB89" s="1060"/>
      <c r="AC89" s="1060"/>
      <c r="AD89" s="1063"/>
      <c r="AE89" s="1060"/>
      <c r="AF89" s="1060"/>
      <c r="AG89" s="1060"/>
      <c r="AH89" s="1060"/>
      <c r="AI89" s="313"/>
      <c r="AJ89" s="313"/>
    </row>
    <row r="90" spans="1:36" ht="15.75">
      <c r="A90" s="14"/>
      <c r="B90" s="14"/>
      <c r="C90" s="14"/>
      <c r="D90" s="92"/>
      <c r="E90" s="92"/>
      <c r="F90" s="92"/>
      <c r="G90" s="92"/>
      <c r="H90" s="92"/>
      <c r="I90" s="92"/>
      <c r="J90" s="92"/>
      <c r="K90" s="4"/>
      <c r="L90" s="101"/>
      <c r="M90" s="101"/>
      <c r="N90" s="101"/>
      <c r="O90" s="101"/>
      <c r="P90" s="101"/>
      <c r="Q90" s="402"/>
      <c r="R90" s="101"/>
      <c r="S90" s="101"/>
      <c r="T90" s="101"/>
      <c r="U90" s="101"/>
      <c r="V90" s="101"/>
      <c r="W90" s="101"/>
      <c r="X90" s="101"/>
      <c r="Y90" s="101"/>
      <c r="Z90" s="101"/>
      <c r="AA90" s="101"/>
      <c r="AB90" s="101"/>
      <c r="AC90" s="101"/>
      <c r="AD90" s="402"/>
      <c r="AE90" s="101"/>
      <c r="AF90" s="101"/>
      <c r="AG90" s="101"/>
      <c r="AH90" s="101"/>
      <c r="AI90" s="313"/>
      <c r="AJ90" s="313"/>
    </row>
    <row r="91" spans="1:36" ht="15.75">
      <c r="A91" s="4"/>
      <c r="B91" s="4"/>
      <c r="C91" s="4"/>
      <c r="D91" s="92"/>
      <c r="E91" s="92"/>
      <c r="F91" s="92"/>
      <c r="G91" s="92"/>
      <c r="H91" s="92"/>
      <c r="I91" s="92"/>
      <c r="J91" s="92"/>
      <c r="K91" s="4"/>
      <c r="L91" s="101"/>
      <c r="M91" s="101"/>
      <c r="N91" s="101"/>
      <c r="O91" s="101"/>
      <c r="P91" s="101"/>
      <c r="Q91" s="402"/>
      <c r="R91" s="101"/>
      <c r="S91" s="101"/>
      <c r="T91" s="101"/>
      <c r="U91" s="101"/>
      <c r="V91" s="101"/>
      <c r="W91" s="101"/>
      <c r="X91" s="101"/>
      <c r="Y91" s="101"/>
      <c r="Z91" s="101"/>
      <c r="AA91" s="101"/>
      <c r="AB91" s="101"/>
      <c r="AC91" s="101"/>
      <c r="AD91" s="402"/>
      <c r="AE91" s="101"/>
      <c r="AF91" s="101"/>
      <c r="AG91" s="101"/>
      <c r="AH91" s="101"/>
      <c r="AI91" s="313"/>
      <c r="AJ91" s="313"/>
    </row>
    <row r="92" spans="1:36" ht="15.75">
      <c r="A92" s="26" t="s">
        <v>276</v>
      </c>
      <c r="B92" s="26"/>
      <c r="C92" s="26"/>
      <c r="D92" s="91"/>
      <c r="E92" s="91"/>
      <c r="F92" s="91"/>
      <c r="G92" s="92"/>
      <c r="H92" s="92"/>
      <c r="I92" s="92"/>
      <c r="J92" s="92"/>
      <c r="K92" s="4"/>
      <c r="L92" s="366">
        <v>177000</v>
      </c>
      <c r="M92" s="101"/>
      <c r="N92" s="101"/>
      <c r="O92" s="101"/>
      <c r="P92" s="101"/>
      <c r="Q92" s="404"/>
      <c r="R92" s="366">
        <v>217550</v>
      </c>
      <c r="S92" s="101"/>
      <c r="T92" s="101"/>
      <c r="U92" s="101"/>
      <c r="V92" s="101"/>
      <c r="W92" s="102"/>
      <c r="X92" s="366">
        <v>276600</v>
      </c>
      <c r="Y92" s="102"/>
      <c r="Z92" s="102"/>
      <c r="AA92" s="102"/>
      <c r="AB92" s="102"/>
      <c r="AC92" s="102"/>
      <c r="AD92" s="366">
        <v>278220</v>
      </c>
      <c r="AE92" s="101"/>
      <c r="AF92" s="101"/>
      <c r="AG92" s="101"/>
      <c r="AH92" s="101"/>
      <c r="AI92" s="367">
        <v>278202</v>
      </c>
      <c r="AJ92" s="325">
        <v>949370</v>
      </c>
    </row>
    <row r="93" spans="1:36" ht="15.75">
      <c r="A93" s="103"/>
      <c r="B93" s="103"/>
      <c r="C93" s="103"/>
      <c r="D93" s="137"/>
      <c r="E93" s="137"/>
      <c r="F93" s="137"/>
      <c r="G93" s="137"/>
      <c r="H93" s="137"/>
      <c r="I93" s="137"/>
      <c r="J93" s="137"/>
      <c r="K93" s="137"/>
      <c r="L93" s="405">
        <f>SUM(L74:L91)</f>
        <v>177000</v>
      </c>
      <c r="M93" s="405">
        <f t="shared" ref="M93:AH93" si="7">SUM(M74:M91)</f>
        <v>0</v>
      </c>
      <c r="N93" s="405">
        <f t="shared" si="7"/>
        <v>0</v>
      </c>
      <c r="O93" s="405">
        <f t="shared" si="7"/>
        <v>0</v>
      </c>
      <c r="P93" s="405">
        <f t="shared" si="7"/>
        <v>0</v>
      </c>
      <c r="Q93" s="405">
        <f>SUM(Q74:Q91)</f>
        <v>177000</v>
      </c>
      <c r="R93" s="405">
        <f t="shared" si="7"/>
        <v>217550</v>
      </c>
      <c r="S93" s="405">
        <f t="shared" si="7"/>
        <v>0</v>
      </c>
      <c r="T93" s="405">
        <f t="shared" si="7"/>
        <v>0</v>
      </c>
      <c r="U93" s="405">
        <f t="shared" si="7"/>
        <v>0</v>
      </c>
      <c r="V93" s="405">
        <f t="shared" si="7"/>
        <v>0</v>
      </c>
      <c r="W93" s="405">
        <f>SUM(W74:W91)</f>
        <v>217550</v>
      </c>
      <c r="X93" s="405">
        <f t="shared" si="7"/>
        <v>276600</v>
      </c>
      <c r="Y93" s="405">
        <f t="shared" si="7"/>
        <v>0</v>
      </c>
      <c r="Z93" s="405">
        <f t="shared" si="7"/>
        <v>0</v>
      </c>
      <c r="AA93" s="405">
        <f t="shared" si="7"/>
        <v>0</v>
      </c>
      <c r="AB93" s="405">
        <f t="shared" si="7"/>
        <v>0</v>
      </c>
      <c r="AC93" s="405">
        <f t="shared" si="7"/>
        <v>276600</v>
      </c>
      <c r="AD93" s="405">
        <f>SUM(AD74:AD91)</f>
        <v>178320</v>
      </c>
      <c r="AE93" s="405">
        <f t="shared" si="7"/>
        <v>0</v>
      </c>
      <c r="AF93" s="405">
        <f t="shared" si="7"/>
        <v>0</v>
      </c>
      <c r="AG93" s="405">
        <f t="shared" si="7"/>
        <v>0</v>
      </c>
      <c r="AH93" s="405">
        <f t="shared" si="7"/>
        <v>0</v>
      </c>
      <c r="AI93" s="405">
        <f>SUM(AI74:AI91)</f>
        <v>178320</v>
      </c>
      <c r="AJ93" s="412">
        <f>SUM(AI93+AC93+W93+Q93)</f>
        <v>849470</v>
      </c>
    </row>
    <row r="94" spans="1:36" ht="15.7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318"/>
      <c r="AJ94" s="318"/>
    </row>
    <row r="95" spans="1:36" s="83" customFormat="1" ht="15.75">
      <c r="A95" s="138" t="s">
        <v>339</v>
      </c>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row>
    <row r="96" spans="1:36" s="83" customFormat="1" ht="6.75" customHeight="1">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row>
    <row r="97" spans="1:36" s="83" customFormat="1" ht="46.5" customHeight="1">
      <c r="A97" s="139"/>
      <c r="B97" s="110"/>
      <c r="C97" s="110"/>
      <c r="D97" s="1100" t="s">
        <v>0</v>
      </c>
      <c r="E97" s="1100" t="s">
        <v>340</v>
      </c>
      <c r="F97" s="1107" t="s">
        <v>5</v>
      </c>
      <c r="G97" s="1107"/>
      <c r="H97" s="1100" t="s">
        <v>22</v>
      </c>
      <c r="I97" s="1100" t="s">
        <v>211</v>
      </c>
      <c r="J97" s="1100" t="s">
        <v>212</v>
      </c>
      <c r="K97" s="1100" t="s">
        <v>213</v>
      </c>
      <c r="L97" s="1072" t="s">
        <v>214</v>
      </c>
      <c r="M97" s="1072"/>
      <c r="N97" s="1072"/>
      <c r="O97" s="1072"/>
      <c r="P97" s="1072"/>
      <c r="Q97" s="1072"/>
      <c r="R97" s="1072"/>
      <c r="S97" s="1072"/>
      <c r="T97" s="1072"/>
      <c r="U97" s="1072"/>
      <c r="V97" s="1072"/>
      <c r="W97" s="1072"/>
      <c r="X97" s="1072"/>
      <c r="Y97" s="1072"/>
      <c r="Z97" s="1072"/>
      <c r="AA97" s="1072"/>
      <c r="AB97" s="1072"/>
      <c r="AC97" s="1072"/>
      <c r="AD97" s="1072"/>
      <c r="AE97" s="1072"/>
      <c r="AF97" s="1072"/>
      <c r="AG97" s="1072"/>
      <c r="AH97" s="1072"/>
      <c r="AI97" s="315" t="s">
        <v>688</v>
      </c>
      <c r="AJ97" s="315" t="s">
        <v>689</v>
      </c>
    </row>
    <row r="98" spans="1:36" s="83" customFormat="1" ht="38.25">
      <c r="A98" s="1103" t="s">
        <v>341</v>
      </c>
      <c r="B98" s="110" t="s">
        <v>215</v>
      </c>
      <c r="C98" s="110" t="s">
        <v>279</v>
      </c>
      <c r="D98" s="1100"/>
      <c r="E98" s="1106"/>
      <c r="F98" s="1105" t="s">
        <v>217</v>
      </c>
      <c r="G98" s="1105" t="s">
        <v>6</v>
      </c>
      <c r="H98" s="1100"/>
      <c r="I98" s="1100"/>
      <c r="J98" s="1100"/>
      <c r="K98" s="1100"/>
      <c r="L98" s="1071" t="s">
        <v>12</v>
      </c>
      <c r="M98" s="1072"/>
      <c r="N98" s="1072"/>
      <c r="O98" s="1072"/>
      <c r="P98" s="1072"/>
      <c r="Q98" s="1072"/>
      <c r="R98" s="1071" t="s">
        <v>13</v>
      </c>
      <c r="S98" s="1072"/>
      <c r="T98" s="1072"/>
      <c r="U98" s="1072"/>
      <c r="V98" s="1072"/>
      <c r="W98" s="1072"/>
      <c r="X98" s="1071" t="s">
        <v>14</v>
      </c>
      <c r="Y98" s="1072"/>
      <c r="Z98" s="1072"/>
      <c r="AA98" s="1072"/>
      <c r="AB98" s="1072"/>
      <c r="AC98" s="1072"/>
      <c r="AD98" s="1071" t="s">
        <v>15</v>
      </c>
      <c r="AE98" s="1072"/>
      <c r="AF98" s="1072"/>
      <c r="AG98" s="1072"/>
      <c r="AH98" s="1072"/>
      <c r="AI98" s="313"/>
      <c r="AJ98" s="316"/>
    </row>
    <row r="99" spans="1:36" s="83" customFormat="1" ht="15.75">
      <c r="A99" s="1104"/>
      <c r="B99" s="110"/>
      <c r="C99" s="110"/>
      <c r="D99" s="1100"/>
      <c r="E99" s="1106"/>
      <c r="F99" s="1105"/>
      <c r="G99" s="1105"/>
      <c r="H99" s="1100"/>
      <c r="I99" s="1100"/>
      <c r="J99" s="1100"/>
      <c r="K99" s="1100"/>
      <c r="L99" s="95" t="s">
        <v>1</v>
      </c>
      <c r="M99" s="95" t="s">
        <v>9</v>
      </c>
      <c r="N99" s="95" t="s">
        <v>218</v>
      </c>
      <c r="O99" s="140" t="s">
        <v>17</v>
      </c>
      <c r="P99" s="140" t="s">
        <v>19</v>
      </c>
      <c r="Q99" s="140" t="s">
        <v>4</v>
      </c>
      <c r="R99" s="95" t="s">
        <v>1</v>
      </c>
      <c r="S99" s="95" t="s">
        <v>2</v>
      </c>
      <c r="T99" s="95" t="s">
        <v>219</v>
      </c>
      <c r="U99" s="95" t="s">
        <v>17</v>
      </c>
      <c r="V99" s="95" t="s">
        <v>19</v>
      </c>
      <c r="W99" s="95" t="s">
        <v>4</v>
      </c>
      <c r="X99" s="95" t="s">
        <v>1</v>
      </c>
      <c r="Y99" s="95" t="s">
        <v>9</v>
      </c>
      <c r="Z99" s="95" t="s">
        <v>218</v>
      </c>
      <c r="AA99" s="140" t="s">
        <v>17</v>
      </c>
      <c r="AB99" s="140" t="s">
        <v>19</v>
      </c>
      <c r="AC99" s="140" t="s">
        <v>4</v>
      </c>
      <c r="AD99" s="95" t="s">
        <v>1</v>
      </c>
      <c r="AE99" s="95" t="s">
        <v>9</v>
      </c>
      <c r="AF99" s="95" t="s">
        <v>219</v>
      </c>
      <c r="AG99" s="140" t="s">
        <v>17</v>
      </c>
      <c r="AH99" s="140" t="s">
        <v>19</v>
      </c>
      <c r="AI99" s="313"/>
      <c r="AJ99" s="313"/>
    </row>
    <row r="100" spans="1:36" s="83" customFormat="1" ht="15.75">
      <c r="A100" s="141" t="s">
        <v>33</v>
      </c>
      <c r="B100" s="141" t="s">
        <v>34</v>
      </c>
      <c r="C100" s="141" t="s">
        <v>45</v>
      </c>
      <c r="D100" s="141" t="s">
        <v>35</v>
      </c>
      <c r="E100" s="141" t="s">
        <v>36</v>
      </c>
      <c r="F100" s="141" t="s">
        <v>37</v>
      </c>
      <c r="G100" s="141" t="s">
        <v>38</v>
      </c>
      <c r="H100" s="142" t="s">
        <v>39</v>
      </c>
      <c r="I100" s="141" t="s">
        <v>40</v>
      </c>
      <c r="J100" s="143" t="s">
        <v>41</v>
      </c>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313"/>
      <c r="AJ100" s="313"/>
    </row>
    <row r="101" spans="1:36" s="83" customFormat="1" ht="15.75">
      <c r="A101" s="1101" t="s">
        <v>342</v>
      </c>
      <c r="B101" s="1102"/>
      <c r="C101" s="1102"/>
      <c r="D101" s="1102"/>
      <c r="E101" s="1102"/>
      <c r="F101" s="144"/>
      <c r="G101" s="145"/>
      <c r="H101" s="146"/>
      <c r="I101" s="145"/>
      <c r="J101" s="147"/>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313"/>
      <c r="AJ101" s="313"/>
    </row>
    <row r="102" spans="1:36" s="83" customFormat="1" ht="15.75">
      <c r="A102" s="1075" t="s">
        <v>343</v>
      </c>
      <c r="B102" s="1076"/>
      <c r="C102" s="1076"/>
      <c r="D102" s="1076"/>
      <c r="E102" s="1076"/>
      <c r="F102" s="148"/>
      <c r="G102" s="149"/>
      <c r="H102" s="150"/>
      <c r="I102" s="149"/>
      <c r="J102" s="151"/>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313"/>
      <c r="AJ102" s="313"/>
    </row>
    <row r="103" spans="1:36" s="83" customFormat="1" ht="15.75">
      <c r="A103" s="1075" t="s">
        <v>344</v>
      </c>
      <c r="B103" s="1076"/>
      <c r="C103" s="1076"/>
      <c r="D103" s="1076"/>
      <c r="E103" s="1076"/>
      <c r="F103" s="1076"/>
      <c r="G103" s="1076"/>
      <c r="H103" s="1076"/>
      <c r="I103" s="1076"/>
      <c r="J103" s="1076"/>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313"/>
      <c r="AJ103" s="313"/>
    </row>
    <row r="104" spans="1:36" s="83" customFormat="1" ht="15.75">
      <c r="A104" s="1075" t="s">
        <v>345</v>
      </c>
      <c r="B104" s="1076"/>
      <c r="C104" s="1076"/>
      <c r="D104" s="1076"/>
      <c r="E104" s="148"/>
      <c r="F104" s="148"/>
      <c r="G104" s="149"/>
      <c r="H104" s="150"/>
      <c r="I104" s="149"/>
      <c r="J104" s="151"/>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313"/>
      <c r="AJ104" s="313"/>
    </row>
    <row r="105" spans="1:36" s="83" customFormat="1" ht="15.75">
      <c r="A105" s="1075" t="s">
        <v>346</v>
      </c>
      <c r="B105" s="1076"/>
      <c r="C105" s="1076"/>
      <c r="D105" s="1077"/>
      <c r="E105" s="148"/>
      <c r="F105" s="148"/>
      <c r="G105" s="149"/>
      <c r="H105" s="150"/>
      <c r="I105" s="149"/>
      <c r="J105" s="151"/>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313"/>
      <c r="AJ105" s="313"/>
    </row>
    <row r="106" spans="1:36" s="83" customFormat="1" ht="15.75">
      <c r="A106" s="9" t="s">
        <v>352</v>
      </c>
      <c r="B106" s="149"/>
      <c r="C106" s="148"/>
      <c r="D106" s="149"/>
      <c r="E106" s="148"/>
      <c r="F106" s="148"/>
      <c r="G106" s="148"/>
      <c r="H106" s="148"/>
      <c r="I106" s="149"/>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313"/>
      <c r="AJ106" s="313"/>
    </row>
    <row r="107" spans="1:36" s="83" customFormat="1" ht="178.5">
      <c r="A107" s="152" t="s">
        <v>389</v>
      </c>
      <c r="B107" s="153"/>
      <c r="C107" s="154"/>
      <c r="D107" s="153" t="s">
        <v>347</v>
      </c>
      <c r="E107" s="154" t="s">
        <v>353</v>
      </c>
      <c r="F107" s="155" t="s">
        <v>138</v>
      </c>
      <c r="G107" s="155" t="s">
        <v>65</v>
      </c>
      <c r="H107" s="155" t="s">
        <v>391</v>
      </c>
      <c r="I107" s="153" t="s">
        <v>349</v>
      </c>
      <c r="J107" s="156" t="s">
        <v>355</v>
      </c>
      <c r="K107" s="155"/>
      <c r="L107" s="368">
        <v>602817</v>
      </c>
      <c r="M107" s="155"/>
      <c r="N107" s="155"/>
      <c r="O107" s="157"/>
      <c r="P107" s="155"/>
      <c r="Q107" s="368">
        <v>602817</v>
      </c>
      <c r="R107" s="155"/>
      <c r="S107" s="155"/>
      <c r="T107" s="155"/>
      <c r="U107" s="155"/>
      <c r="V107" s="155"/>
      <c r="W107" s="155"/>
      <c r="X107" s="148"/>
      <c r="Y107" s="148"/>
      <c r="Z107" s="148"/>
      <c r="AA107" s="148"/>
      <c r="AB107" s="148"/>
      <c r="AC107" s="148"/>
      <c r="AD107" s="148"/>
      <c r="AE107" s="148"/>
      <c r="AF107" s="148"/>
      <c r="AG107" s="148"/>
      <c r="AH107" s="148"/>
      <c r="AI107" s="313"/>
      <c r="AJ107" s="313"/>
    </row>
    <row r="108" spans="1:36" s="83" customFormat="1" ht="267.75">
      <c r="A108" s="9" t="s">
        <v>390</v>
      </c>
      <c r="B108" s="149"/>
      <c r="C108" s="151"/>
      <c r="D108" s="149" t="s">
        <v>347</v>
      </c>
      <c r="E108" s="151" t="s">
        <v>356</v>
      </c>
      <c r="F108" s="148" t="s">
        <v>80</v>
      </c>
      <c r="G108" s="148" t="s">
        <v>350</v>
      </c>
      <c r="H108" s="148" t="s">
        <v>391</v>
      </c>
      <c r="I108" s="149" t="s">
        <v>357</v>
      </c>
      <c r="J108" s="151" t="s">
        <v>358</v>
      </c>
      <c r="K108" s="148"/>
      <c r="L108" s="369">
        <v>86000</v>
      </c>
      <c r="M108" s="148"/>
      <c r="N108" s="148"/>
      <c r="O108" s="148"/>
      <c r="P108" s="148"/>
      <c r="Q108" s="369">
        <v>86000</v>
      </c>
      <c r="R108" s="148"/>
      <c r="S108" s="148"/>
      <c r="T108" s="148"/>
      <c r="U108" s="148"/>
      <c r="V108" s="148"/>
      <c r="W108" s="148"/>
      <c r="X108" s="148"/>
      <c r="Y108" s="148"/>
      <c r="Z108" s="148"/>
      <c r="AA108" s="148"/>
      <c r="AB108" s="148"/>
      <c r="AC108" s="148"/>
      <c r="AD108" s="148"/>
      <c r="AE108" s="148"/>
      <c r="AF108" s="148"/>
      <c r="AG108" s="148"/>
      <c r="AH108" s="148"/>
      <c r="AI108" s="313"/>
      <c r="AJ108" s="313"/>
    </row>
    <row r="109" spans="1:36" s="83" customFormat="1" ht="242.25">
      <c r="A109" s="4" t="s">
        <v>396</v>
      </c>
      <c r="B109" s="149"/>
      <c r="C109" s="148"/>
      <c r="D109" s="149" t="s">
        <v>347</v>
      </c>
      <c r="E109" s="148" t="s">
        <v>359</v>
      </c>
      <c r="F109" s="148" t="s">
        <v>80</v>
      </c>
      <c r="G109" s="148"/>
      <c r="H109" s="148" t="s">
        <v>354</v>
      </c>
      <c r="I109" s="149" t="s">
        <v>351</v>
      </c>
      <c r="J109" s="151" t="s">
        <v>358</v>
      </c>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313"/>
      <c r="AJ109" s="313"/>
    </row>
    <row r="110" spans="1:36" s="83" customFormat="1" ht="15.75">
      <c r="A110" s="1075" t="s">
        <v>360</v>
      </c>
      <c r="B110" s="1076"/>
      <c r="C110" s="1076"/>
      <c r="D110" s="1076"/>
      <c r="E110" s="1076"/>
      <c r="F110" s="148"/>
      <c r="G110" s="149"/>
      <c r="H110" s="150"/>
      <c r="I110" s="149"/>
      <c r="J110" s="151"/>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313"/>
      <c r="AJ110" s="313"/>
    </row>
    <row r="111" spans="1:36" s="83" customFormat="1" ht="15.75">
      <c r="A111" s="1075" t="s">
        <v>361</v>
      </c>
      <c r="B111" s="1076"/>
      <c r="C111" s="1076"/>
      <c r="D111" s="1076"/>
      <c r="E111" s="1076"/>
      <c r="F111" s="1076"/>
      <c r="G111" s="1076"/>
      <c r="H111" s="1076"/>
      <c r="I111" s="1076"/>
      <c r="J111" s="1076"/>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313"/>
      <c r="AJ111" s="313"/>
    </row>
    <row r="112" spans="1:36" s="83" customFormat="1" ht="15.75">
      <c r="A112" s="1075" t="s">
        <v>345</v>
      </c>
      <c r="B112" s="1076"/>
      <c r="C112" s="1076"/>
      <c r="D112" s="1076"/>
      <c r="E112" s="1076"/>
      <c r="F112" s="1076"/>
      <c r="G112" s="1076"/>
      <c r="H112" s="1076"/>
      <c r="I112" s="1076"/>
      <c r="J112" s="1076"/>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313"/>
      <c r="AJ112" s="313"/>
    </row>
    <row r="113" spans="1:36" s="83" customFormat="1" ht="15.75">
      <c r="A113" s="1136" t="s">
        <v>362</v>
      </c>
      <c r="B113" s="1136"/>
      <c r="C113" s="1136"/>
      <c r="D113" s="1136"/>
      <c r="E113" s="1136"/>
      <c r="F113" s="1136"/>
      <c r="G113" s="1136"/>
      <c r="H113" s="1136"/>
      <c r="I113" s="1136"/>
      <c r="J113" s="1075"/>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313"/>
      <c r="AJ113" s="313"/>
    </row>
    <row r="114" spans="1:36" s="83" customFormat="1" ht="306">
      <c r="A114" s="9" t="s">
        <v>363</v>
      </c>
      <c r="B114" s="149"/>
      <c r="C114" s="148"/>
      <c r="D114" s="149" t="s">
        <v>347</v>
      </c>
      <c r="E114" s="148" t="s">
        <v>364</v>
      </c>
      <c r="F114" s="148" t="s">
        <v>138</v>
      </c>
      <c r="G114" s="148" t="s">
        <v>65</v>
      </c>
      <c r="H114" s="148" t="s">
        <v>391</v>
      </c>
      <c r="I114" s="149" t="s">
        <v>348</v>
      </c>
      <c r="J114" s="151" t="s">
        <v>365</v>
      </c>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313"/>
      <c r="AJ114" s="313"/>
    </row>
    <row r="115" spans="1:36" s="83" customFormat="1" ht="63.75">
      <c r="A115" s="9" t="s">
        <v>366</v>
      </c>
      <c r="B115" s="149"/>
      <c r="C115" s="148"/>
      <c r="D115" s="149" t="s">
        <v>347</v>
      </c>
      <c r="E115" s="148"/>
      <c r="F115" s="148" t="s">
        <v>138</v>
      </c>
      <c r="G115" s="148" t="s">
        <v>65</v>
      </c>
      <c r="H115" s="148" t="s">
        <v>391</v>
      </c>
      <c r="I115" s="149" t="s">
        <v>348</v>
      </c>
      <c r="J115" s="151" t="s">
        <v>365</v>
      </c>
      <c r="K115" s="148"/>
      <c r="L115" s="369">
        <v>946000</v>
      </c>
      <c r="M115" s="148"/>
      <c r="N115" s="148"/>
      <c r="O115" s="148"/>
      <c r="P115" s="148"/>
      <c r="Q115" s="369">
        <v>946000</v>
      </c>
      <c r="R115" s="148"/>
      <c r="S115" s="148"/>
      <c r="T115" s="148"/>
      <c r="U115" s="148"/>
      <c r="V115" s="148"/>
      <c r="W115" s="148"/>
      <c r="X115" s="148"/>
      <c r="Y115" s="148"/>
      <c r="Z115" s="148"/>
      <c r="AA115" s="148"/>
      <c r="AB115" s="148"/>
      <c r="AC115" s="148"/>
      <c r="AD115" s="148"/>
      <c r="AE115" s="148"/>
      <c r="AF115" s="148"/>
      <c r="AG115" s="148"/>
      <c r="AH115" s="148"/>
      <c r="AI115" s="313"/>
      <c r="AJ115" s="313"/>
    </row>
    <row r="116" spans="1:36" s="83" customFormat="1" ht="216.75">
      <c r="A116" s="4" t="s">
        <v>367</v>
      </c>
      <c r="B116" s="149"/>
      <c r="C116" s="148"/>
      <c r="D116" s="149" t="s">
        <v>347</v>
      </c>
      <c r="E116" s="148" t="s">
        <v>368</v>
      </c>
      <c r="F116" s="148" t="s">
        <v>138</v>
      </c>
      <c r="G116" s="148" t="s">
        <v>65</v>
      </c>
      <c r="H116" s="148" t="s">
        <v>391</v>
      </c>
      <c r="I116" s="149" t="s">
        <v>348</v>
      </c>
      <c r="J116" s="151" t="s">
        <v>365</v>
      </c>
      <c r="K116" s="148"/>
      <c r="L116" s="370">
        <v>499402</v>
      </c>
      <c r="M116" s="148"/>
      <c r="N116" s="148"/>
      <c r="O116" s="157"/>
      <c r="P116" s="148"/>
      <c r="Q116" s="370">
        <v>499402</v>
      </c>
      <c r="R116" s="370">
        <v>644484</v>
      </c>
      <c r="S116" s="148"/>
      <c r="T116" s="148"/>
      <c r="U116" s="157"/>
      <c r="V116" s="148"/>
      <c r="W116" s="370">
        <v>644484</v>
      </c>
      <c r="X116" s="370">
        <v>789566</v>
      </c>
      <c r="Y116" s="148"/>
      <c r="Z116" s="148"/>
      <c r="AA116" s="148"/>
      <c r="AB116" s="148"/>
      <c r="AC116" s="370">
        <v>789566</v>
      </c>
      <c r="AD116" s="370">
        <v>934648</v>
      </c>
      <c r="AE116" s="148"/>
      <c r="AF116" s="148"/>
      <c r="AG116" s="157"/>
      <c r="AH116" s="148"/>
      <c r="AI116" s="400">
        <f>SUM(AD116:AH116)</f>
        <v>934648</v>
      </c>
      <c r="AJ116" s="313"/>
    </row>
    <row r="117" spans="1:36" s="83" customFormat="1" ht="76.5">
      <c r="A117" s="4" t="s">
        <v>369</v>
      </c>
      <c r="B117" s="149"/>
      <c r="C117" s="148"/>
      <c r="D117" s="149" t="s">
        <v>347</v>
      </c>
      <c r="E117" s="148"/>
      <c r="F117" s="148" t="s">
        <v>138</v>
      </c>
      <c r="G117" s="148" t="s">
        <v>65</v>
      </c>
      <c r="H117" s="148" t="s">
        <v>391</v>
      </c>
      <c r="I117" s="149" t="s">
        <v>348</v>
      </c>
      <c r="J117" s="151" t="s">
        <v>358</v>
      </c>
      <c r="K117" s="148"/>
      <c r="L117" s="371">
        <v>2707495</v>
      </c>
      <c r="M117" s="148"/>
      <c r="N117" s="148"/>
      <c r="O117" s="148"/>
      <c r="P117" s="148"/>
      <c r="Q117" s="371">
        <v>2707495</v>
      </c>
      <c r="R117" s="148"/>
      <c r="S117" s="148"/>
      <c r="T117" s="148"/>
      <c r="U117" s="148"/>
      <c r="V117" s="148"/>
      <c r="W117" s="148"/>
      <c r="X117" s="148"/>
      <c r="Y117" s="148"/>
      <c r="Z117" s="148"/>
      <c r="AA117" s="148"/>
      <c r="AB117" s="148"/>
      <c r="AC117" s="148"/>
      <c r="AD117" s="148"/>
      <c r="AE117" s="148"/>
      <c r="AF117" s="148"/>
      <c r="AG117" s="148"/>
      <c r="AH117" s="148"/>
      <c r="AI117" s="400">
        <f t="shared" ref="AI117:AI130" si="8">SUM(AD117:AH117)</f>
        <v>0</v>
      </c>
      <c r="AJ117" s="313"/>
    </row>
    <row r="118" spans="1:36" s="83" customFormat="1" ht="293.25">
      <c r="A118" s="4" t="s">
        <v>370</v>
      </c>
      <c r="B118" s="149"/>
      <c r="C118" s="148"/>
      <c r="D118" s="149" t="s">
        <v>347</v>
      </c>
      <c r="E118" s="148" t="s">
        <v>371</v>
      </c>
      <c r="F118" s="148" t="s">
        <v>372</v>
      </c>
      <c r="G118" s="148" t="s">
        <v>373</v>
      </c>
      <c r="H118" s="148" t="s">
        <v>391</v>
      </c>
      <c r="I118" s="149" t="s">
        <v>348</v>
      </c>
      <c r="J118" s="151" t="s">
        <v>358</v>
      </c>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400">
        <f t="shared" si="8"/>
        <v>0</v>
      </c>
      <c r="AJ118" s="313"/>
    </row>
    <row r="119" spans="1:36" s="83" customFormat="1" ht="409.5">
      <c r="A119" s="4" t="s">
        <v>374</v>
      </c>
      <c r="B119" s="149"/>
      <c r="C119" s="148"/>
      <c r="D119" s="149" t="s">
        <v>347</v>
      </c>
      <c r="E119" s="148" t="s">
        <v>375</v>
      </c>
      <c r="F119" s="148" t="s">
        <v>372</v>
      </c>
      <c r="G119" s="148" t="s">
        <v>373</v>
      </c>
      <c r="H119" s="148" t="s">
        <v>391</v>
      </c>
      <c r="I119" s="149" t="s">
        <v>348</v>
      </c>
      <c r="J119" s="151" t="s">
        <v>358</v>
      </c>
      <c r="K119" s="148"/>
      <c r="L119" s="371">
        <v>4300</v>
      </c>
      <c r="M119" s="148"/>
      <c r="N119" s="148"/>
      <c r="O119" s="148"/>
      <c r="P119" s="148"/>
      <c r="Q119" s="371">
        <v>4300</v>
      </c>
      <c r="R119" s="148"/>
      <c r="S119" s="148"/>
      <c r="T119" s="148"/>
      <c r="U119" s="148"/>
      <c r="V119" s="148"/>
      <c r="W119" s="148"/>
      <c r="X119" s="148"/>
      <c r="Y119" s="148"/>
      <c r="Z119" s="148"/>
      <c r="AA119" s="148"/>
      <c r="AB119" s="148"/>
      <c r="AC119" s="148"/>
      <c r="AD119" s="148"/>
      <c r="AE119" s="148"/>
      <c r="AF119" s="148"/>
      <c r="AG119" s="148"/>
      <c r="AH119" s="148"/>
      <c r="AI119" s="400">
        <f t="shared" si="8"/>
        <v>0</v>
      </c>
      <c r="AJ119" s="313"/>
    </row>
    <row r="120" spans="1:36" s="83" customFormat="1" ht="15.75">
      <c r="A120" s="1075" t="s">
        <v>376</v>
      </c>
      <c r="B120" s="1076"/>
      <c r="C120" s="1076"/>
      <c r="D120" s="1076"/>
      <c r="E120" s="1076"/>
      <c r="F120" s="1076"/>
      <c r="G120" s="1076"/>
      <c r="H120" s="1076"/>
      <c r="I120" s="1076"/>
      <c r="J120" s="1076"/>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51"/>
      <c r="AI120" s="400">
        <f t="shared" si="8"/>
        <v>0</v>
      </c>
      <c r="AJ120" s="327"/>
    </row>
    <row r="121" spans="1:36" s="83" customFormat="1" ht="15.75">
      <c r="A121" s="1075" t="s">
        <v>345</v>
      </c>
      <c r="B121" s="1076"/>
      <c r="C121" s="1076"/>
      <c r="D121" s="1076"/>
      <c r="E121" s="148"/>
      <c r="F121" s="148"/>
      <c r="G121" s="149"/>
      <c r="H121" s="150"/>
      <c r="I121" s="149"/>
      <c r="J121" s="151"/>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400">
        <f t="shared" si="8"/>
        <v>0</v>
      </c>
      <c r="AJ121" s="326"/>
    </row>
    <row r="122" spans="1:36" s="83" customFormat="1" ht="15.75">
      <c r="A122" s="1075" t="s">
        <v>362</v>
      </c>
      <c r="B122" s="1076"/>
      <c r="C122" s="1076"/>
      <c r="D122" s="1076"/>
      <c r="E122" s="1076"/>
      <c r="F122" s="1076"/>
      <c r="G122" s="1076"/>
      <c r="H122" s="1076"/>
      <c r="I122" s="1076"/>
      <c r="J122" s="1076"/>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400">
        <f t="shared" si="8"/>
        <v>0</v>
      </c>
      <c r="AJ122" s="326"/>
    </row>
    <row r="123" spans="1:36" s="83" customFormat="1" ht="267.75">
      <c r="A123" s="9" t="s">
        <v>377</v>
      </c>
      <c r="B123" s="149"/>
      <c r="C123" s="148"/>
      <c r="D123" s="149" t="s">
        <v>347</v>
      </c>
      <c r="E123" s="148" t="s">
        <v>378</v>
      </c>
      <c r="F123" s="148" t="s">
        <v>138</v>
      </c>
      <c r="G123" s="148" t="s">
        <v>65</v>
      </c>
      <c r="H123" s="148" t="s">
        <v>354</v>
      </c>
      <c r="I123" s="149" t="s">
        <v>348</v>
      </c>
      <c r="J123" s="151" t="s">
        <v>358</v>
      </c>
      <c r="K123" s="148"/>
      <c r="L123" s="148"/>
      <c r="M123" s="148"/>
      <c r="N123" s="148"/>
      <c r="O123" s="148"/>
      <c r="P123" s="148"/>
      <c r="Q123" s="148"/>
      <c r="R123" s="371">
        <v>3512756</v>
      </c>
      <c r="S123" s="148"/>
      <c r="T123" s="148"/>
      <c r="U123" s="148"/>
      <c r="V123" s="148"/>
      <c r="W123" s="371">
        <v>3512756</v>
      </c>
      <c r="X123" s="148"/>
      <c r="Y123" s="148"/>
      <c r="Z123" s="148"/>
      <c r="AA123" s="148"/>
      <c r="AB123" s="148"/>
      <c r="AC123" s="148"/>
      <c r="AD123" s="148"/>
      <c r="AE123" s="148"/>
      <c r="AF123" s="148"/>
      <c r="AG123" s="148"/>
      <c r="AH123" s="148"/>
      <c r="AI123" s="400">
        <f t="shared" si="8"/>
        <v>0</v>
      </c>
      <c r="AJ123" s="326"/>
    </row>
    <row r="124" spans="1:36" s="83" customFormat="1" ht="15.75">
      <c r="A124" s="1075" t="s">
        <v>379</v>
      </c>
      <c r="B124" s="1076"/>
      <c r="C124" s="1076"/>
      <c r="D124" s="1076"/>
      <c r="E124" s="1076"/>
      <c r="F124" s="1076"/>
      <c r="G124" s="1076"/>
      <c r="H124" s="1076"/>
      <c r="I124" s="1076"/>
      <c r="J124" s="1076"/>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400">
        <f t="shared" si="8"/>
        <v>0</v>
      </c>
      <c r="AJ124" s="326"/>
    </row>
    <row r="125" spans="1:36" s="83" customFormat="1" ht="15.75">
      <c r="A125" s="1075" t="s">
        <v>345</v>
      </c>
      <c r="B125" s="1076"/>
      <c r="C125" s="1076"/>
      <c r="D125" s="1076"/>
      <c r="E125" s="1076"/>
      <c r="F125" s="1076"/>
      <c r="G125" s="1076"/>
      <c r="H125" s="1076"/>
      <c r="I125" s="1076"/>
      <c r="J125" s="1076"/>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400">
        <f t="shared" si="8"/>
        <v>0</v>
      </c>
      <c r="AJ125" s="326"/>
    </row>
    <row r="126" spans="1:36" s="83" customFormat="1" ht="15.75">
      <c r="A126" s="1075" t="s">
        <v>362</v>
      </c>
      <c r="B126" s="1076"/>
      <c r="C126" s="1076"/>
      <c r="D126" s="1076"/>
      <c r="E126" s="1076"/>
      <c r="F126" s="1076"/>
      <c r="G126" s="1076"/>
      <c r="H126" s="1076"/>
      <c r="I126" s="1076"/>
      <c r="J126" s="1076"/>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400">
        <f t="shared" si="8"/>
        <v>0</v>
      </c>
      <c r="AJ126" s="326"/>
    </row>
    <row r="127" spans="1:36" s="83" customFormat="1" ht="369.75">
      <c r="A127" s="9" t="s">
        <v>380</v>
      </c>
      <c r="B127" s="149"/>
      <c r="C127" s="151"/>
      <c r="D127" s="149" t="s">
        <v>347</v>
      </c>
      <c r="E127" s="151" t="s">
        <v>381</v>
      </c>
      <c r="F127" s="148" t="s">
        <v>80</v>
      </c>
      <c r="G127" s="148" t="s">
        <v>350</v>
      </c>
      <c r="H127" s="148" t="s">
        <v>391</v>
      </c>
      <c r="I127" s="149" t="s">
        <v>348</v>
      </c>
      <c r="J127" s="151" t="s">
        <v>358</v>
      </c>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400">
        <f t="shared" si="8"/>
        <v>0</v>
      </c>
      <c r="AJ127" s="326"/>
    </row>
    <row r="128" spans="1:36" s="83" customFormat="1" ht="15.75">
      <c r="A128" s="1075" t="s">
        <v>382</v>
      </c>
      <c r="B128" s="1076"/>
      <c r="C128" s="1076"/>
      <c r="D128" s="1076"/>
      <c r="E128" s="1076"/>
      <c r="F128" s="1076"/>
      <c r="G128" s="1076"/>
      <c r="H128" s="1076"/>
      <c r="I128" s="1076"/>
      <c r="J128" s="1076"/>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400">
        <f t="shared" si="8"/>
        <v>0</v>
      </c>
      <c r="AJ128" s="326"/>
    </row>
    <row r="129" spans="1:36" s="83" customFormat="1" ht="63.75">
      <c r="A129" s="148" t="s">
        <v>383</v>
      </c>
      <c r="B129" s="149"/>
      <c r="C129" s="148"/>
      <c r="D129" s="149" t="s">
        <v>347</v>
      </c>
      <c r="E129" s="148"/>
      <c r="F129" s="148" t="s">
        <v>80</v>
      </c>
      <c r="G129" s="148" t="s">
        <v>350</v>
      </c>
      <c r="H129" s="148" t="s">
        <v>391</v>
      </c>
      <c r="I129" s="149" t="s">
        <v>348</v>
      </c>
      <c r="J129" s="151" t="s">
        <v>384</v>
      </c>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400">
        <f t="shared" si="8"/>
        <v>0</v>
      </c>
      <c r="AJ129" s="326"/>
    </row>
    <row r="130" spans="1:36" s="83" customFormat="1" ht="63.75">
      <c r="A130" s="9" t="s">
        <v>385</v>
      </c>
      <c r="B130" s="149"/>
      <c r="C130" s="148"/>
      <c r="D130" s="149" t="s">
        <v>347</v>
      </c>
      <c r="E130" s="148"/>
      <c r="F130" s="148" t="s">
        <v>138</v>
      </c>
      <c r="G130" s="148" t="s">
        <v>65</v>
      </c>
      <c r="H130" s="148" t="s">
        <v>391</v>
      </c>
      <c r="I130" s="149" t="s">
        <v>348</v>
      </c>
      <c r="J130" s="151" t="s">
        <v>386</v>
      </c>
      <c r="K130" s="148"/>
      <c r="L130" s="369">
        <v>619200</v>
      </c>
      <c r="M130" s="158"/>
      <c r="N130" s="158"/>
      <c r="O130" s="158"/>
      <c r="P130" s="158"/>
      <c r="Q130" s="369">
        <v>619200</v>
      </c>
      <c r="R130" s="369">
        <v>743040</v>
      </c>
      <c r="S130" s="148"/>
      <c r="T130" s="148"/>
      <c r="U130" s="148"/>
      <c r="V130" s="148"/>
      <c r="W130" s="369">
        <v>743040</v>
      </c>
      <c r="X130" s="148"/>
      <c r="Y130" s="148"/>
      <c r="Z130" s="148"/>
      <c r="AA130" s="148"/>
      <c r="AB130" s="148"/>
      <c r="AC130" s="148"/>
      <c r="AD130" s="148"/>
      <c r="AE130" s="148"/>
      <c r="AF130" s="148"/>
      <c r="AG130" s="148"/>
      <c r="AH130" s="148"/>
      <c r="AI130" s="400">
        <f t="shared" si="8"/>
        <v>0</v>
      </c>
      <c r="AJ130" s="326"/>
    </row>
    <row r="131" spans="1:36" s="83" customFormat="1" ht="331.5">
      <c r="A131" s="9" t="s">
        <v>387</v>
      </c>
      <c r="B131" s="149"/>
      <c r="C131" s="148"/>
      <c r="D131" s="149" t="s">
        <v>347</v>
      </c>
      <c r="E131" s="148" t="s">
        <v>388</v>
      </c>
      <c r="F131" s="148" t="s">
        <v>80</v>
      </c>
      <c r="G131" s="148" t="s">
        <v>350</v>
      </c>
      <c r="H131" s="148" t="s">
        <v>391</v>
      </c>
      <c r="I131" s="149" t="s">
        <v>348</v>
      </c>
      <c r="J131" s="151" t="s">
        <v>386</v>
      </c>
      <c r="K131" s="148"/>
      <c r="L131" s="369">
        <v>743040</v>
      </c>
      <c r="M131" s="158"/>
      <c r="N131" s="158"/>
      <c r="O131" s="158"/>
      <c r="P131" s="158"/>
      <c r="Q131" s="369">
        <v>743040</v>
      </c>
      <c r="R131" s="369">
        <v>891648</v>
      </c>
      <c r="S131" s="148"/>
      <c r="T131" s="148"/>
      <c r="U131" s="148"/>
      <c r="V131" s="148"/>
      <c r="W131" s="369">
        <v>891648</v>
      </c>
      <c r="X131" s="371">
        <v>1069977</v>
      </c>
      <c r="Y131" s="158"/>
      <c r="Z131" s="158"/>
      <c r="AA131" s="158"/>
      <c r="AB131" s="158"/>
      <c r="AC131" s="371">
        <f>SUM(X131)</f>
        <v>1069977</v>
      </c>
      <c r="AD131" s="371">
        <v>1283973</v>
      </c>
      <c r="AE131" s="148"/>
      <c r="AF131" s="148"/>
      <c r="AG131" s="148"/>
      <c r="AH131" s="148"/>
      <c r="AI131" s="421">
        <f>SUM(AD131:AH131)</f>
        <v>1283973</v>
      </c>
      <c r="AJ131" s="326"/>
    </row>
    <row r="132" spans="1:36" s="83" customFormat="1" ht="15.75">
      <c r="A132" s="166" t="s">
        <v>276</v>
      </c>
      <c r="B132" s="167"/>
      <c r="C132" s="168"/>
      <c r="D132" s="167"/>
      <c r="E132" s="168"/>
      <c r="F132" s="169"/>
      <c r="G132" s="169"/>
      <c r="H132" s="169"/>
      <c r="I132" s="170"/>
      <c r="J132" s="171"/>
      <c r="K132" s="172"/>
      <c r="L132" s="372">
        <v>9557954</v>
      </c>
      <c r="M132" s="174"/>
      <c r="N132" s="174"/>
      <c r="O132" s="173"/>
      <c r="P132" s="174"/>
      <c r="Q132" s="372">
        <f>SUM(L132+O132)</f>
        <v>9557954</v>
      </c>
      <c r="R132" s="372">
        <v>5791928</v>
      </c>
      <c r="S132" s="175"/>
      <c r="T132" s="175"/>
      <c r="U132" s="176"/>
      <c r="V132" s="175"/>
      <c r="W132" s="372">
        <f>SUM(R132+U132)</f>
        <v>5791928</v>
      </c>
      <c r="X132" s="372">
        <v>1859544</v>
      </c>
      <c r="Y132" s="174"/>
      <c r="Z132" s="174"/>
      <c r="AA132" s="173"/>
      <c r="AB132" s="174"/>
      <c r="AC132" s="372">
        <f>SUM(X132+AA132)</f>
        <v>1859544</v>
      </c>
      <c r="AD132" s="173">
        <v>2218.6210000000001</v>
      </c>
      <c r="AE132" s="175"/>
      <c r="AF132" s="175"/>
      <c r="AG132" s="176"/>
      <c r="AH132" s="175"/>
      <c r="AI132" s="328">
        <v>2218621</v>
      </c>
      <c r="AJ132" s="329">
        <v>19428049</v>
      </c>
    </row>
    <row r="133" spans="1:36" s="83" customFormat="1" ht="15.75">
      <c r="A133" s="413"/>
      <c r="B133" s="414"/>
      <c r="C133" s="415"/>
      <c r="D133" s="414"/>
      <c r="E133" s="415"/>
      <c r="F133" s="416"/>
      <c r="G133" s="416"/>
      <c r="H133" s="416"/>
      <c r="I133" s="417"/>
      <c r="J133" s="418"/>
      <c r="K133" s="295"/>
      <c r="L133" s="420">
        <f>SUM(L102:L131)</f>
        <v>6208254</v>
      </c>
      <c r="M133" s="420">
        <f t="shared" ref="M133:AH133" si="9">SUM(M102:M131)</f>
        <v>0</v>
      </c>
      <c r="N133" s="420">
        <f t="shared" si="9"/>
        <v>0</v>
      </c>
      <c r="O133" s="420">
        <f t="shared" si="9"/>
        <v>0</v>
      </c>
      <c r="P133" s="420">
        <f t="shared" si="9"/>
        <v>0</v>
      </c>
      <c r="Q133" s="420">
        <f>SUM(Q102:Q131)</f>
        <v>6208254</v>
      </c>
      <c r="R133" s="420">
        <f t="shared" si="9"/>
        <v>5791928</v>
      </c>
      <c r="S133" s="420">
        <f t="shared" si="9"/>
        <v>0</v>
      </c>
      <c r="T133" s="420">
        <f t="shared" si="9"/>
        <v>0</v>
      </c>
      <c r="U133" s="420">
        <f t="shared" si="9"/>
        <v>0</v>
      </c>
      <c r="V133" s="420">
        <f t="shared" si="9"/>
        <v>0</v>
      </c>
      <c r="W133" s="420">
        <f t="shared" si="9"/>
        <v>5791928</v>
      </c>
      <c r="X133" s="420">
        <f t="shared" si="9"/>
        <v>1859543</v>
      </c>
      <c r="Y133" s="420">
        <f t="shared" si="9"/>
        <v>0</v>
      </c>
      <c r="Z133" s="420">
        <f t="shared" si="9"/>
        <v>0</v>
      </c>
      <c r="AA133" s="420">
        <f t="shared" si="9"/>
        <v>0</v>
      </c>
      <c r="AB133" s="420">
        <f t="shared" si="9"/>
        <v>0</v>
      </c>
      <c r="AC133" s="420">
        <f t="shared" si="9"/>
        <v>1859543</v>
      </c>
      <c r="AD133" s="420">
        <f t="shared" si="9"/>
        <v>2218621</v>
      </c>
      <c r="AE133" s="420">
        <f t="shared" si="9"/>
        <v>0</v>
      </c>
      <c r="AF133" s="420">
        <f t="shared" si="9"/>
        <v>0</v>
      </c>
      <c r="AG133" s="420">
        <f t="shared" si="9"/>
        <v>0</v>
      </c>
      <c r="AH133" s="420">
        <f t="shared" si="9"/>
        <v>0</v>
      </c>
      <c r="AI133" s="420">
        <f>SUM(AI102:AI131)</f>
        <v>2218621</v>
      </c>
      <c r="AJ133" s="419">
        <f>SUM(AI133+AC133+W133+Q133)</f>
        <v>16078346</v>
      </c>
    </row>
    <row r="134" spans="1:36">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J134" s="486">
        <f>AI133+AC133+W133+Q133</f>
        <v>16078346</v>
      </c>
    </row>
    <row r="135" spans="1:36">
      <c r="A135" s="138" t="s">
        <v>407</v>
      </c>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row>
    <row r="136" spans="1:36" ht="7.5" customHeight="1" thickBo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row>
    <row r="137" spans="1:36" ht="30.75" customHeight="1">
      <c r="A137" s="1126"/>
      <c r="B137" s="1129" t="s">
        <v>215</v>
      </c>
      <c r="C137" s="1129" t="s">
        <v>279</v>
      </c>
      <c r="D137" s="1132" t="s">
        <v>0</v>
      </c>
      <c r="E137" s="1121" t="s">
        <v>210</v>
      </c>
      <c r="F137" s="1134" t="s">
        <v>5</v>
      </c>
      <c r="G137" s="1135"/>
      <c r="H137" s="1056" t="s">
        <v>22</v>
      </c>
      <c r="I137" s="1118" t="s">
        <v>281</v>
      </c>
      <c r="J137" s="1121" t="s">
        <v>212</v>
      </c>
      <c r="K137" s="1121" t="s">
        <v>282</v>
      </c>
      <c r="L137" s="1056" t="s">
        <v>452</v>
      </c>
      <c r="M137" s="1124"/>
      <c r="N137" s="1124"/>
      <c r="O137" s="1124"/>
      <c r="P137" s="1124"/>
      <c r="Q137" s="1125"/>
      <c r="R137" s="1056" t="s">
        <v>453</v>
      </c>
      <c r="S137" s="1124"/>
      <c r="T137" s="1124"/>
      <c r="U137" s="1124"/>
      <c r="V137" s="1124"/>
      <c r="W137" s="1125"/>
      <c r="X137" s="1056" t="s">
        <v>453</v>
      </c>
      <c r="Y137" s="1124"/>
      <c r="Z137" s="1124"/>
      <c r="AA137" s="1124"/>
      <c r="AB137" s="1124"/>
      <c r="AC137" s="1125"/>
      <c r="AD137" s="1056" t="s">
        <v>454</v>
      </c>
      <c r="AE137" s="1057"/>
      <c r="AF137" s="1057"/>
      <c r="AG137" s="1057"/>
      <c r="AH137" s="1057"/>
      <c r="AI137" s="331"/>
      <c r="AJ137" s="331"/>
    </row>
    <row r="138" spans="1:36" ht="15" customHeight="1">
      <c r="A138" s="1127"/>
      <c r="B138" s="1130"/>
      <c r="C138" s="1130"/>
      <c r="D138" s="1115"/>
      <c r="E138" s="1122"/>
      <c r="F138" s="1111" t="s">
        <v>455</v>
      </c>
      <c r="G138" s="1113" t="s">
        <v>6</v>
      </c>
      <c r="H138" s="1116"/>
      <c r="I138" s="1119"/>
      <c r="J138" s="1122"/>
      <c r="K138" s="1122"/>
      <c r="L138" s="1108">
        <v>2013</v>
      </c>
      <c r="M138" s="1109"/>
      <c r="N138" s="1109"/>
      <c r="O138" s="1109"/>
      <c r="P138" s="1109"/>
      <c r="Q138" s="1110"/>
      <c r="R138" s="1115">
        <v>2014</v>
      </c>
      <c r="S138" s="1115"/>
      <c r="T138" s="1115"/>
      <c r="U138" s="1115"/>
      <c r="V138" s="1115"/>
      <c r="W138" s="1115"/>
      <c r="X138" s="1115">
        <v>2015</v>
      </c>
      <c r="Y138" s="1115"/>
      <c r="Z138" s="1115"/>
      <c r="AA138" s="1115"/>
      <c r="AB138" s="1115"/>
      <c r="AC138" s="1115"/>
      <c r="AD138" s="1115">
        <v>2016</v>
      </c>
      <c r="AE138" s="1115"/>
      <c r="AF138" s="1115"/>
      <c r="AG138" s="1115"/>
      <c r="AH138" s="1115"/>
      <c r="AI138" s="330"/>
      <c r="AJ138" s="330"/>
    </row>
    <row r="139" spans="1:36" ht="43.5" customHeight="1" thickBot="1">
      <c r="A139" s="1128"/>
      <c r="B139" s="1131"/>
      <c r="C139" s="1131"/>
      <c r="D139" s="1133"/>
      <c r="E139" s="1123"/>
      <c r="F139" s="1112"/>
      <c r="G139" s="1114"/>
      <c r="H139" s="1117"/>
      <c r="I139" s="1120"/>
      <c r="J139" s="1123"/>
      <c r="K139" s="1123"/>
      <c r="L139" s="197" t="s">
        <v>1</v>
      </c>
      <c r="M139" s="198" t="s">
        <v>2</v>
      </c>
      <c r="N139" s="197" t="s">
        <v>3</v>
      </c>
      <c r="O139" s="197" t="s">
        <v>66</v>
      </c>
      <c r="P139" s="198" t="s">
        <v>19</v>
      </c>
      <c r="Q139" s="197" t="s">
        <v>4</v>
      </c>
      <c r="R139" s="197" t="s">
        <v>1</v>
      </c>
      <c r="S139" s="198" t="s">
        <v>2</v>
      </c>
      <c r="T139" s="197" t="s">
        <v>3</v>
      </c>
      <c r="U139" s="197" t="s">
        <v>66</v>
      </c>
      <c r="V139" s="198" t="s">
        <v>19</v>
      </c>
      <c r="W139" s="197" t="s">
        <v>4</v>
      </c>
      <c r="X139" s="197" t="s">
        <v>1</v>
      </c>
      <c r="Y139" s="198" t="s">
        <v>2</v>
      </c>
      <c r="Z139" s="197" t="s">
        <v>3</v>
      </c>
      <c r="AA139" s="197" t="s">
        <v>66</v>
      </c>
      <c r="AB139" s="198" t="s">
        <v>19</v>
      </c>
      <c r="AC139" s="197" t="s">
        <v>4</v>
      </c>
      <c r="AD139" s="197" t="s">
        <v>1</v>
      </c>
      <c r="AE139" s="198" t="s">
        <v>2</v>
      </c>
      <c r="AF139" s="197" t="s">
        <v>3</v>
      </c>
      <c r="AG139" s="197" t="s">
        <v>66</v>
      </c>
      <c r="AH139" s="198" t="s">
        <v>19</v>
      </c>
      <c r="AI139" s="333" t="s">
        <v>688</v>
      </c>
      <c r="AJ139" s="334" t="s">
        <v>691</v>
      </c>
    </row>
    <row r="140" spans="1:36">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330"/>
      <c r="AJ140" s="330"/>
    </row>
    <row r="141" spans="1:36" ht="139.5" customHeight="1">
      <c r="A141" s="201" t="s">
        <v>678</v>
      </c>
      <c r="B141" s="202"/>
      <c r="C141" s="203"/>
      <c r="D141" s="196" t="s">
        <v>407</v>
      </c>
      <c r="E141" s="204" t="s">
        <v>408</v>
      </c>
      <c r="F141" s="205"/>
      <c r="G141" s="205"/>
      <c r="H141" s="206"/>
      <c r="I141" s="207"/>
      <c r="J141" s="208"/>
      <c r="K141" s="205"/>
      <c r="L141" s="489">
        <v>41666</v>
      </c>
      <c r="M141" s="490"/>
      <c r="N141" s="490"/>
      <c r="O141" s="490"/>
      <c r="P141" s="490"/>
      <c r="Q141" s="491">
        <f>SUM(L141:P141)</f>
        <v>41666</v>
      </c>
      <c r="R141" s="489">
        <v>41666</v>
      </c>
      <c r="S141" s="490"/>
      <c r="T141" s="490"/>
      <c r="U141" s="490"/>
      <c r="V141" s="490"/>
      <c r="W141" s="491">
        <f>SUM(R141:V141)</f>
        <v>41666</v>
      </c>
      <c r="X141" s="489">
        <v>41666</v>
      </c>
      <c r="Y141" s="490"/>
      <c r="Z141" s="490"/>
      <c r="AA141" s="490"/>
      <c r="AB141" s="490"/>
      <c r="AC141" s="491">
        <f>SUM(X141:AB141)</f>
        <v>41666</v>
      </c>
      <c r="AD141" s="489">
        <v>41666</v>
      </c>
      <c r="AE141" s="490"/>
      <c r="AF141" s="490"/>
      <c r="AG141" s="490"/>
      <c r="AH141" s="490"/>
      <c r="AI141" s="491">
        <f>SUM(AD141:AH141)</f>
        <v>41666</v>
      </c>
      <c r="AJ141" s="330"/>
    </row>
    <row r="142" spans="1:36" ht="178.5">
      <c r="A142" s="207"/>
      <c r="B142" s="203"/>
      <c r="C142" s="203"/>
      <c r="D142" s="196" t="s">
        <v>407</v>
      </c>
      <c r="E142" s="200" t="s">
        <v>409</v>
      </c>
      <c r="F142" s="205"/>
      <c r="G142" s="205"/>
      <c r="H142" s="206"/>
      <c r="I142" s="207"/>
      <c r="J142" s="208"/>
      <c r="K142" s="205"/>
      <c r="L142" s="205"/>
      <c r="M142" s="205"/>
      <c r="N142" s="205"/>
      <c r="O142" s="205"/>
      <c r="P142" s="205"/>
      <c r="Q142" s="205"/>
      <c r="R142" s="205"/>
      <c r="S142" s="205"/>
      <c r="T142" s="205"/>
      <c r="U142" s="205"/>
      <c r="V142" s="205"/>
      <c r="W142" s="491">
        <f t="shared" ref="W142:W149" si="10">SUM(R142:V142)</f>
        <v>0</v>
      </c>
      <c r="X142" s="205"/>
      <c r="Y142" s="205"/>
      <c r="Z142" s="205"/>
      <c r="AA142" s="205"/>
      <c r="AB142" s="205"/>
      <c r="AC142" s="205"/>
      <c r="AD142" s="205"/>
      <c r="AE142" s="205"/>
      <c r="AF142" s="205"/>
      <c r="AG142" s="205"/>
      <c r="AH142" s="205"/>
      <c r="AI142" s="205"/>
      <c r="AJ142" s="330"/>
    </row>
    <row r="143" spans="1:36" ht="89.25">
      <c r="A143" s="207"/>
      <c r="B143" s="203"/>
      <c r="C143" s="203"/>
      <c r="D143" s="196" t="s">
        <v>407</v>
      </c>
      <c r="E143" s="203" t="s">
        <v>410</v>
      </c>
      <c r="F143" s="205"/>
      <c r="G143" s="205"/>
      <c r="H143" s="206"/>
      <c r="I143" s="207"/>
      <c r="J143" s="208"/>
      <c r="K143" s="205"/>
      <c r="L143" s="205"/>
      <c r="M143" s="205"/>
      <c r="N143" s="205"/>
      <c r="O143" s="205"/>
      <c r="P143" s="205"/>
      <c r="Q143" s="205"/>
      <c r="R143" s="205"/>
      <c r="S143" s="205"/>
      <c r="T143" s="205"/>
      <c r="U143" s="205"/>
      <c r="V143" s="205"/>
      <c r="W143" s="491">
        <f t="shared" si="10"/>
        <v>0</v>
      </c>
      <c r="X143" s="205"/>
      <c r="Y143" s="205"/>
      <c r="Z143" s="205"/>
      <c r="AA143" s="205"/>
      <c r="AB143" s="205"/>
      <c r="AC143" s="205"/>
      <c r="AD143" s="205"/>
      <c r="AE143" s="205"/>
      <c r="AF143" s="205"/>
      <c r="AG143" s="205"/>
      <c r="AH143" s="205"/>
      <c r="AI143" s="205"/>
      <c r="AJ143" s="330"/>
    </row>
    <row r="144" spans="1:36" ht="102">
      <c r="A144" s="207"/>
      <c r="B144" s="203"/>
      <c r="C144" s="203"/>
      <c r="D144" s="196" t="s">
        <v>407</v>
      </c>
      <c r="E144" s="203" t="s">
        <v>411</v>
      </c>
      <c r="F144" s="205"/>
      <c r="G144" s="205"/>
      <c r="H144" s="206"/>
      <c r="I144" s="207"/>
      <c r="J144" s="208"/>
      <c r="K144" s="205"/>
      <c r="L144" s="205"/>
      <c r="M144" s="205"/>
      <c r="N144" s="205"/>
      <c r="O144" s="205"/>
      <c r="P144" s="205"/>
      <c r="Q144" s="205"/>
      <c r="R144" s="205"/>
      <c r="S144" s="205"/>
      <c r="T144" s="205"/>
      <c r="U144" s="205"/>
      <c r="V144" s="205"/>
      <c r="W144" s="491">
        <f t="shared" si="10"/>
        <v>0</v>
      </c>
      <c r="X144" s="205"/>
      <c r="Y144" s="205"/>
      <c r="Z144" s="205"/>
      <c r="AA144" s="205"/>
      <c r="AB144" s="205"/>
      <c r="AC144" s="205"/>
      <c r="AD144" s="205"/>
      <c r="AE144" s="205"/>
      <c r="AF144" s="205"/>
      <c r="AG144" s="205"/>
      <c r="AH144" s="205"/>
      <c r="AI144" s="205"/>
      <c r="AJ144" s="330"/>
    </row>
    <row r="145" spans="1:36" ht="76.5">
      <c r="A145" s="201" t="s">
        <v>679</v>
      </c>
      <c r="B145" s="210"/>
      <c r="C145" s="210"/>
      <c r="D145" s="196" t="s">
        <v>407</v>
      </c>
      <c r="E145" s="210" t="s">
        <v>412</v>
      </c>
      <c r="F145" s="205"/>
      <c r="G145" s="205"/>
      <c r="H145" s="206"/>
      <c r="I145" s="207"/>
      <c r="J145" s="208"/>
      <c r="K145" s="205"/>
      <c r="L145" s="492">
        <v>6666</v>
      </c>
      <c r="M145" s="490"/>
      <c r="N145" s="490"/>
      <c r="O145" s="490"/>
      <c r="P145" s="490"/>
      <c r="Q145" s="493">
        <f>SUM(L145:P145)</f>
        <v>6666</v>
      </c>
      <c r="R145" s="492">
        <v>6666</v>
      </c>
      <c r="S145" s="205"/>
      <c r="T145" s="205"/>
      <c r="U145" s="205"/>
      <c r="V145" s="205"/>
      <c r="W145" s="491">
        <f t="shared" si="10"/>
        <v>6666</v>
      </c>
      <c r="X145" s="492">
        <v>6666</v>
      </c>
      <c r="Y145" s="490"/>
      <c r="Z145" s="490"/>
      <c r="AA145" s="490"/>
      <c r="AB145" s="490"/>
      <c r="AC145" s="493">
        <f>SUM(X145:AB145)</f>
        <v>6666</v>
      </c>
      <c r="AD145" s="492">
        <v>6666</v>
      </c>
      <c r="AE145" s="490"/>
      <c r="AF145" s="490"/>
      <c r="AG145" s="490"/>
      <c r="AH145" s="490"/>
      <c r="AI145" s="491">
        <f>SUM(AD145:AH145)</f>
        <v>6666</v>
      </c>
      <c r="AJ145" s="330"/>
    </row>
    <row r="146" spans="1:36" ht="89.25">
      <c r="A146" s="201"/>
      <c r="B146" s="210"/>
      <c r="C146" s="210"/>
      <c r="D146" s="196" t="s">
        <v>407</v>
      </c>
      <c r="E146" s="210" t="s">
        <v>413</v>
      </c>
      <c r="F146" s="205"/>
      <c r="G146" s="205"/>
      <c r="H146" s="206"/>
      <c r="I146" s="207"/>
      <c r="J146" s="208"/>
      <c r="K146" s="205"/>
      <c r="L146" s="205"/>
      <c r="M146" s="205"/>
      <c r="N146" s="205"/>
      <c r="O146" s="205"/>
      <c r="P146" s="205"/>
      <c r="Q146" s="205"/>
      <c r="R146" s="205"/>
      <c r="S146" s="205"/>
      <c r="T146" s="205"/>
      <c r="U146" s="205"/>
      <c r="V146" s="205"/>
      <c r="W146" s="491">
        <f t="shared" si="10"/>
        <v>0</v>
      </c>
      <c r="X146" s="205"/>
      <c r="Y146" s="205"/>
      <c r="Z146" s="205"/>
      <c r="AA146" s="205"/>
      <c r="AB146" s="205"/>
      <c r="AC146" s="205"/>
      <c r="AD146" s="205"/>
      <c r="AE146" s="205"/>
      <c r="AF146" s="205"/>
      <c r="AG146" s="205"/>
      <c r="AH146" s="205"/>
      <c r="AI146" s="205"/>
      <c r="AJ146" s="330"/>
    </row>
    <row r="147" spans="1:36" ht="76.5">
      <c r="A147" s="201"/>
      <c r="B147" s="210"/>
      <c r="C147" s="210"/>
      <c r="D147" s="196" t="s">
        <v>407</v>
      </c>
      <c r="E147" s="210" t="s">
        <v>414</v>
      </c>
      <c r="F147" s="205"/>
      <c r="G147" s="205"/>
      <c r="H147" s="206"/>
      <c r="I147" s="207"/>
      <c r="J147" s="208"/>
      <c r="K147" s="205"/>
      <c r="L147" s="205"/>
      <c r="M147" s="205"/>
      <c r="N147" s="205"/>
      <c r="O147" s="205"/>
      <c r="P147" s="205"/>
      <c r="Q147" s="205"/>
      <c r="R147" s="205"/>
      <c r="S147" s="205"/>
      <c r="T147" s="205"/>
      <c r="U147" s="205"/>
      <c r="V147" s="205"/>
      <c r="W147" s="491">
        <f t="shared" si="10"/>
        <v>0</v>
      </c>
      <c r="X147" s="205"/>
      <c r="Y147" s="205"/>
      <c r="Z147" s="205"/>
      <c r="AA147" s="205"/>
      <c r="AB147" s="205"/>
      <c r="AC147" s="205"/>
      <c r="AD147" s="205"/>
      <c r="AE147" s="205"/>
      <c r="AF147" s="205"/>
      <c r="AG147" s="205"/>
      <c r="AH147" s="205"/>
      <c r="AI147" s="205"/>
      <c r="AJ147" s="330"/>
    </row>
    <row r="148" spans="1:36" ht="127.5">
      <c r="A148" s="201"/>
      <c r="B148" s="210"/>
      <c r="C148" s="210"/>
      <c r="D148" s="196" t="s">
        <v>407</v>
      </c>
      <c r="E148" s="210" t="s">
        <v>415</v>
      </c>
      <c r="F148" s="205"/>
      <c r="G148" s="205"/>
      <c r="H148" s="206"/>
      <c r="I148" s="207"/>
      <c r="J148" s="208"/>
      <c r="K148" s="205"/>
      <c r="L148" s="205"/>
      <c r="M148" s="205"/>
      <c r="N148" s="205"/>
      <c r="O148" s="205"/>
      <c r="P148" s="205"/>
      <c r="Q148" s="205"/>
      <c r="R148" s="205"/>
      <c r="S148" s="205"/>
      <c r="T148" s="205"/>
      <c r="U148" s="205"/>
      <c r="V148" s="205"/>
      <c r="W148" s="491">
        <f t="shared" si="10"/>
        <v>0</v>
      </c>
      <c r="X148" s="205"/>
      <c r="Y148" s="205"/>
      <c r="Z148" s="205"/>
      <c r="AA148" s="205"/>
      <c r="AB148" s="205"/>
      <c r="AC148" s="205"/>
      <c r="AD148" s="205"/>
      <c r="AE148" s="205"/>
      <c r="AF148" s="205"/>
      <c r="AG148" s="205"/>
      <c r="AH148" s="205"/>
      <c r="AI148" s="205"/>
      <c r="AJ148" s="330"/>
    </row>
    <row r="149" spans="1:36" ht="140.25">
      <c r="A149" s="201" t="s">
        <v>680</v>
      </c>
      <c r="B149" s="203"/>
      <c r="C149" s="203"/>
      <c r="D149" s="196" t="s">
        <v>407</v>
      </c>
      <c r="E149" s="203" t="s">
        <v>416</v>
      </c>
      <c r="F149" s="205"/>
      <c r="G149" s="205"/>
      <c r="H149" s="206"/>
      <c r="I149" s="207"/>
      <c r="J149" s="208"/>
      <c r="K149" s="205"/>
      <c r="L149" s="489">
        <v>8333</v>
      </c>
      <c r="M149" s="490"/>
      <c r="N149" s="490"/>
      <c r="O149" s="490"/>
      <c r="P149" s="490"/>
      <c r="Q149" s="493">
        <f>SUM(L149:P149)</f>
        <v>8333</v>
      </c>
      <c r="R149" s="489">
        <v>8333</v>
      </c>
      <c r="S149" s="205"/>
      <c r="T149" s="205"/>
      <c r="U149" s="205"/>
      <c r="V149" s="205"/>
      <c r="W149" s="491">
        <f t="shared" si="10"/>
        <v>8333</v>
      </c>
      <c r="X149" s="489">
        <v>8333</v>
      </c>
      <c r="Y149" s="490"/>
      <c r="Z149" s="490"/>
      <c r="AA149" s="490"/>
      <c r="AB149" s="490"/>
      <c r="AC149" s="493">
        <f>SUM(X149:AB149)</f>
        <v>8333</v>
      </c>
      <c r="AD149" s="489">
        <v>8333</v>
      </c>
      <c r="AE149" s="490"/>
      <c r="AF149" s="490"/>
      <c r="AG149" s="490"/>
      <c r="AH149" s="490"/>
      <c r="AI149" s="491">
        <f>SUM(AD149:AH149)</f>
        <v>8333</v>
      </c>
      <c r="AJ149" s="330"/>
    </row>
    <row r="150" spans="1:36" ht="102">
      <c r="A150" s="201"/>
      <c r="B150" s="203"/>
      <c r="C150" s="203"/>
      <c r="D150" s="196" t="s">
        <v>407</v>
      </c>
      <c r="E150" s="203" t="s">
        <v>417</v>
      </c>
      <c r="F150" s="205"/>
      <c r="G150" s="205"/>
      <c r="H150" s="206"/>
      <c r="I150" s="207"/>
      <c r="J150" s="208"/>
      <c r="K150" s="205"/>
      <c r="L150" s="205"/>
      <c r="M150" s="205"/>
      <c r="N150" s="205"/>
      <c r="O150" s="205"/>
      <c r="P150" s="205"/>
      <c r="Q150" s="209"/>
      <c r="R150" s="205"/>
      <c r="S150" s="205"/>
      <c r="T150" s="205"/>
      <c r="U150" s="205"/>
      <c r="V150" s="205"/>
      <c r="W150" s="209"/>
      <c r="X150" s="205"/>
      <c r="Y150" s="205"/>
      <c r="Z150" s="205"/>
      <c r="AA150" s="205"/>
      <c r="AB150" s="205"/>
      <c r="AC150" s="209"/>
      <c r="AD150" s="205"/>
      <c r="AE150" s="205"/>
      <c r="AF150" s="205"/>
      <c r="AG150" s="205"/>
      <c r="AH150" s="205"/>
      <c r="AI150" s="209"/>
      <c r="AJ150" s="330"/>
    </row>
    <row r="151" spans="1:36" ht="63.75">
      <c r="A151" s="201"/>
      <c r="B151" s="203"/>
      <c r="C151" s="203"/>
      <c r="D151" s="196" t="s">
        <v>407</v>
      </c>
      <c r="E151" s="203" t="s">
        <v>418</v>
      </c>
      <c r="F151" s="205"/>
      <c r="G151" s="205"/>
      <c r="H151" s="206"/>
      <c r="I151" s="207"/>
      <c r="J151" s="208"/>
      <c r="K151" s="205"/>
      <c r="L151" s="205"/>
      <c r="M151" s="205"/>
      <c r="N151" s="205"/>
      <c r="O151" s="205"/>
      <c r="P151" s="205"/>
      <c r="Q151" s="209"/>
      <c r="R151" s="205"/>
      <c r="S151" s="205"/>
      <c r="T151" s="205"/>
      <c r="U151" s="205"/>
      <c r="V151" s="205"/>
      <c r="W151" s="209"/>
      <c r="X151" s="205"/>
      <c r="Y151" s="205"/>
      <c r="Z151" s="205"/>
      <c r="AA151" s="205"/>
      <c r="AB151" s="205"/>
      <c r="AC151" s="209"/>
      <c r="AD151" s="205"/>
      <c r="AE151" s="205"/>
      <c r="AF151" s="205"/>
      <c r="AG151" s="205"/>
      <c r="AH151" s="205"/>
      <c r="AI151" s="209"/>
      <c r="AJ151" s="330"/>
    </row>
    <row r="152" spans="1:36" ht="89.25">
      <c r="A152" s="207"/>
      <c r="B152" s="211"/>
      <c r="C152" s="199"/>
      <c r="D152" s="196" t="s">
        <v>407</v>
      </c>
      <c r="E152" s="203" t="s">
        <v>419</v>
      </c>
      <c r="F152" s="205"/>
      <c r="G152" s="205"/>
      <c r="H152" s="206"/>
      <c r="I152" s="207"/>
      <c r="J152" s="208"/>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330"/>
    </row>
    <row r="153" spans="1:36" ht="204">
      <c r="A153" s="201" t="s">
        <v>681</v>
      </c>
      <c r="B153" s="202"/>
      <c r="C153" s="199"/>
      <c r="D153" s="196" t="s">
        <v>407</v>
      </c>
      <c r="E153" s="210" t="s">
        <v>420</v>
      </c>
      <c r="F153" s="205"/>
      <c r="G153" s="205"/>
      <c r="H153" s="206"/>
      <c r="I153" s="207"/>
      <c r="J153" s="208"/>
      <c r="K153" s="205"/>
      <c r="L153" s="492">
        <v>6666</v>
      </c>
      <c r="M153" s="490"/>
      <c r="N153" s="490"/>
      <c r="O153" s="490"/>
      <c r="P153" s="490"/>
      <c r="Q153" s="493">
        <f>SUM(L153:P153)</f>
        <v>6666</v>
      </c>
      <c r="R153" s="492">
        <v>6666</v>
      </c>
      <c r="S153" s="490"/>
      <c r="T153" s="490"/>
      <c r="U153" s="490"/>
      <c r="V153" s="490"/>
      <c r="W153" s="493">
        <f>SUM(R153:V153)</f>
        <v>6666</v>
      </c>
      <c r="X153" s="492">
        <v>6666</v>
      </c>
      <c r="Y153" s="490"/>
      <c r="Z153" s="490"/>
      <c r="AA153" s="490"/>
      <c r="AB153" s="490"/>
      <c r="AC153" s="493">
        <f>SUM(X153:AB153)</f>
        <v>6666</v>
      </c>
      <c r="AD153" s="492">
        <v>6666</v>
      </c>
      <c r="AE153" s="490"/>
      <c r="AF153" s="490"/>
      <c r="AG153" s="490"/>
      <c r="AH153" s="490"/>
      <c r="AI153" s="491">
        <f>SUM(AD153:AH153)</f>
        <v>6666</v>
      </c>
      <c r="AJ153" s="330"/>
    </row>
    <row r="154" spans="1:36" ht="51">
      <c r="A154" s="201"/>
      <c r="B154" s="212"/>
      <c r="C154" s="199"/>
      <c r="D154" s="196" t="s">
        <v>407</v>
      </c>
      <c r="E154" s="210" t="s">
        <v>421</v>
      </c>
      <c r="F154" s="205"/>
      <c r="G154" s="205"/>
      <c r="H154" s="206"/>
      <c r="I154" s="207"/>
      <c r="J154" s="208"/>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330"/>
    </row>
    <row r="155" spans="1:36" ht="63.75">
      <c r="A155" s="201"/>
      <c r="B155" s="212"/>
      <c r="C155" s="203"/>
      <c r="D155" s="196" t="s">
        <v>407</v>
      </c>
      <c r="E155" s="210" t="s">
        <v>422</v>
      </c>
      <c r="F155" s="205"/>
      <c r="G155" s="205"/>
      <c r="H155" s="206"/>
      <c r="I155" s="207"/>
      <c r="J155" s="208"/>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330"/>
    </row>
    <row r="156" spans="1:36" ht="76.5">
      <c r="A156" s="201"/>
      <c r="B156" s="212"/>
      <c r="C156" s="199"/>
      <c r="D156" s="196" t="s">
        <v>407</v>
      </c>
      <c r="E156" s="210" t="s">
        <v>423</v>
      </c>
      <c r="F156" s="205"/>
      <c r="G156" s="205"/>
      <c r="H156" s="206"/>
      <c r="I156" s="207"/>
      <c r="J156" s="208"/>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330"/>
    </row>
    <row r="157" spans="1:36" ht="178.5">
      <c r="A157" s="213" t="s">
        <v>682</v>
      </c>
      <c r="B157" s="202"/>
      <c r="C157" s="199"/>
      <c r="D157" s="196" t="s">
        <v>407</v>
      </c>
      <c r="E157" s="210" t="s">
        <v>424</v>
      </c>
      <c r="F157" s="205"/>
      <c r="G157" s="205"/>
      <c r="H157" s="206"/>
      <c r="I157" s="207"/>
      <c r="J157" s="208"/>
      <c r="K157" s="205"/>
      <c r="L157" s="494">
        <v>16666</v>
      </c>
      <c r="M157" s="490"/>
      <c r="N157" s="490"/>
      <c r="O157" s="490"/>
      <c r="P157" s="490"/>
      <c r="Q157" s="493">
        <f>SUM(L157:P157)</f>
        <v>16666</v>
      </c>
      <c r="R157" s="494">
        <v>16666</v>
      </c>
      <c r="S157" s="490"/>
      <c r="T157" s="490"/>
      <c r="U157" s="490"/>
      <c r="V157" s="490"/>
      <c r="W157" s="493">
        <f>SUM(R157:V157)</f>
        <v>16666</v>
      </c>
      <c r="X157" s="494">
        <v>16666</v>
      </c>
      <c r="Y157" s="490"/>
      <c r="Z157" s="490"/>
      <c r="AA157" s="490"/>
      <c r="AB157" s="490"/>
      <c r="AC157" s="493">
        <f>SUM(X157:AB157)</f>
        <v>16666</v>
      </c>
      <c r="AD157" s="494">
        <v>16666</v>
      </c>
      <c r="AE157" s="490"/>
      <c r="AF157" s="490"/>
      <c r="AG157" s="490"/>
      <c r="AH157" s="490"/>
      <c r="AI157" s="491">
        <f>SUM(AD157:AH157)</f>
        <v>16666</v>
      </c>
      <c r="AJ157" s="330"/>
    </row>
    <row r="158" spans="1:36" ht="102">
      <c r="A158" s="207"/>
      <c r="B158" s="210"/>
      <c r="C158" s="202"/>
      <c r="D158" s="196" t="s">
        <v>407</v>
      </c>
      <c r="E158" s="210" t="s">
        <v>425</v>
      </c>
      <c r="F158" s="205"/>
      <c r="G158" s="205"/>
      <c r="H158" s="206"/>
      <c r="I158" s="207"/>
      <c r="J158" s="208"/>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330"/>
    </row>
    <row r="159" spans="1:36" ht="229.5">
      <c r="A159" s="207"/>
      <c r="B159" s="210"/>
      <c r="C159" s="210"/>
      <c r="D159" s="196" t="s">
        <v>407</v>
      </c>
      <c r="E159" s="210" t="s">
        <v>426</v>
      </c>
      <c r="F159" s="205"/>
      <c r="G159" s="205"/>
      <c r="H159" s="206"/>
      <c r="I159" s="207"/>
      <c r="J159" s="208"/>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330"/>
    </row>
    <row r="160" spans="1:36" ht="89.25">
      <c r="A160" s="201" t="s">
        <v>683</v>
      </c>
      <c r="B160" s="210"/>
      <c r="C160" s="199"/>
      <c r="D160" s="196" t="s">
        <v>407</v>
      </c>
      <c r="E160" s="210" t="s">
        <v>427</v>
      </c>
      <c r="F160" s="205"/>
      <c r="G160" s="205"/>
      <c r="H160" s="206"/>
      <c r="I160" s="207"/>
      <c r="J160" s="208"/>
      <c r="K160" s="205"/>
      <c r="L160" s="494">
        <v>17500</v>
      </c>
      <c r="M160" s="490"/>
      <c r="N160" s="490"/>
      <c r="O160" s="490"/>
      <c r="P160" s="490"/>
      <c r="Q160" s="493">
        <f>SUM(L160:P160)</f>
        <v>17500</v>
      </c>
      <c r="R160" s="494">
        <v>17500</v>
      </c>
      <c r="S160" s="490"/>
      <c r="T160" s="490"/>
      <c r="U160" s="490"/>
      <c r="V160" s="490"/>
      <c r="W160" s="493">
        <f>SUM(R160:V160)</f>
        <v>17500</v>
      </c>
      <c r="X160" s="494">
        <v>17500</v>
      </c>
      <c r="Y160" s="490"/>
      <c r="Z160" s="490"/>
      <c r="AA160" s="490"/>
      <c r="AB160" s="490"/>
      <c r="AC160" s="493">
        <f>SUM(X160:AB160)</f>
        <v>17500</v>
      </c>
      <c r="AD160" s="494">
        <v>17500</v>
      </c>
      <c r="AE160" s="490"/>
      <c r="AF160" s="490"/>
      <c r="AG160" s="490"/>
      <c r="AH160" s="490"/>
      <c r="AI160" s="491">
        <f>SUM(AD160:AH160)</f>
        <v>17500</v>
      </c>
      <c r="AJ160" s="330"/>
    </row>
    <row r="161" spans="1:36" ht="63.75">
      <c r="A161" s="207"/>
      <c r="B161" s="210"/>
      <c r="C161" s="199"/>
      <c r="D161" s="196" t="s">
        <v>407</v>
      </c>
      <c r="E161" s="210" t="s">
        <v>428</v>
      </c>
      <c r="F161" s="205"/>
      <c r="G161" s="205"/>
      <c r="H161" s="206"/>
      <c r="I161" s="207"/>
      <c r="J161" s="208"/>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330"/>
    </row>
    <row r="162" spans="1:36" ht="216.75">
      <c r="A162" s="207"/>
      <c r="B162" s="210"/>
      <c r="C162" s="199"/>
      <c r="D162" s="196" t="s">
        <v>407</v>
      </c>
      <c r="E162" s="210" t="s">
        <v>429</v>
      </c>
      <c r="F162" s="205"/>
      <c r="G162" s="205"/>
      <c r="H162" s="206"/>
      <c r="I162" s="207"/>
      <c r="J162" s="208"/>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330"/>
    </row>
    <row r="163" spans="1:36" ht="140.25">
      <c r="A163" s="207"/>
      <c r="B163" s="210"/>
      <c r="C163" s="199"/>
      <c r="D163" s="196" t="s">
        <v>407</v>
      </c>
      <c r="E163" s="210" t="s">
        <v>430</v>
      </c>
      <c r="F163" s="205"/>
      <c r="G163" s="205"/>
      <c r="H163" s="206"/>
      <c r="I163" s="207"/>
      <c r="J163" s="208"/>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330"/>
    </row>
    <row r="164" spans="1:36" ht="102">
      <c r="A164" s="207"/>
      <c r="B164" s="210"/>
      <c r="C164" s="199"/>
      <c r="D164" s="196" t="s">
        <v>407</v>
      </c>
      <c r="E164" s="210" t="s">
        <v>431</v>
      </c>
      <c r="F164" s="205"/>
      <c r="G164" s="205"/>
      <c r="H164" s="206"/>
      <c r="I164" s="207"/>
      <c r="J164" s="208"/>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330"/>
    </row>
    <row r="165" spans="1:36" ht="127.5">
      <c r="A165" s="207"/>
      <c r="B165" s="210"/>
      <c r="C165" s="199"/>
      <c r="D165" s="196" t="s">
        <v>407</v>
      </c>
      <c r="E165" s="210" t="s">
        <v>432</v>
      </c>
      <c r="F165" s="205"/>
      <c r="G165" s="205"/>
      <c r="H165" s="206"/>
      <c r="I165" s="207"/>
      <c r="J165" s="208"/>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330"/>
    </row>
    <row r="166" spans="1:36" ht="38.25">
      <c r="A166" s="207"/>
      <c r="B166" s="210"/>
      <c r="C166" s="202"/>
      <c r="D166" s="196" t="s">
        <v>407</v>
      </c>
      <c r="E166" s="210" t="s">
        <v>433</v>
      </c>
      <c r="F166" s="205"/>
      <c r="G166" s="205"/>
      <c r="H166" s="206"/>
      <c r="I166" s="207"/>
      <c r="J166" s="208"/>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330"/>
    </row>
    <row r="167" spans="1:36" ht="76.5">
      <c r="A167" s="207"/>
      <c r="B167" s="210"/>
      <c r="C167" s="210"/>
      <c r="D167" s="196" t="s">
        <v>407</v>
      </c>
      <c r="E167" s="214" t="s">
        <v>434</v>
      </c>
      <c r="F167" s="205"/>
      <c r="G167" s="205"/>
      <c r="H167" s="206"/>
      <c r="I167" s="207"/>
      <c r="J167" s="208"/>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330"/>
    </row>
    <row r="168" spans="1:36" ht="140.25">
      <c r="A168" s="213" t="s">
        <v>684</v>
      </c>
      <c r="B168" s="199"/>
      <c r="C168" s="199"/>
      <c r="D168" s="196" t="s">
        <v>407</v>
      </c>
      <c r="E168" s="210" t="s">
        <v>435</v>
      </c>
      <c r="F168" s="205"/>
      <c r="G168" s="205"/>
      <c r="H168" s="206"/>
      <c r="I168" s="207"/>
      <c r="J168" s="208"/>
      <c r="K168" s="205"/>
      <c r="L168" s="494">
        <v>83333</v>
      </c>
      <c r="M168" s="490"/>
      <c r="N168" s="490"/>
      <c r="O168" s="490"/>
      <c r="P168" s="490"/>
      <c r="Q168" s="493">
        <f>SUM(L168:P168)</f>
        <v>83333</v>
      </c>
      <c r="R168" s="494">
        <v>83333</v>
      </c>
      <c r="S168" s="490"/>
      <c r="T168" s="490"/>
      <c r="U168" s="490"/>
      <c r="V168" s="490"/>
      <c r="W168" s="493">
        <f>SUM(R168:V168)</f>
        <v>83333</v>
      </c>
      <c r="X168" s="494">
        <v>83333</v>
      </c>
      <c r="Y168" s="490"/>
      <c r="Z168" s="490"/>
      <c r="AA168" s="490"/>
      <c r="AB168" s="490"/>
      <c r="AC168" s="493">
        <f>SUM(X168:AB168)</f>
        <v>83333</v>
      </c>
      <c r="AD168" s="494">
        <v>83333</v>
      </c>
      <c r="AE168" s="490"/>
      <c r="AF168" s="490"/>
      <c r="AG168" s="490"/>
      <c r="AH168" s="490"/>
      <c r="AI168" s="491">
        <f>SUM(AD168:AH168)</f>
        <v>83333</v>
      </c>
      <c r="AJ168" s="330"/>
    </row>
    <row r="169" spans="1:36" ht="216.75">
      <c r="A169" s="207"/>
      <c r="B169" s="215"/>
      <c r="C169" s="202"/>
      <c r="D169" s="196" t="s">
        <v>407</v>
      </c>
      <c r="E169" s="210" t="s">
        <v>436</v>
      </c>
      <c r="F169" s="205"/>
      <c r="G169" s="205"/>
      <c r="H169" s="206"/>
      <c r="I169" s="207"/>
      <c r="J169" s="208"/>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330"/>
    </row>
    <row r="170" spans="1:36" ht="165.75">
      <c r="A170" s="207"/>
      <c r="B170" s="210"/>
      <c r="C170" s="210"/>
      <c r="D170" s="196" t="s">
        <v>407</v>
      </c>
      <c r="E170" s="210" t="s">
        <v>437</v>
      </c>
      <c r="F170" s="205"/>
      <c r="G170" s="205"/>
      <c r="H170" s="206"/>
      <c r="I170" s="207"/>
      <c r="J170" s="208"/>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330"/>
    </row>
    <row r="171" spans="1:36" ht="140.25">
      <c r="A171" s="207"/>
      <c r="B171" s="202"/>
      <c r="C171" s="199"/>
      <c r="D171" s="196" t="s">
        <v>407</v>
      </c>
      <c r="E171" s="210" t="s">
        <v>438</v>
      </c>
      <c r="F171" s="205"/>
      <c r="G171" s="205"/>
      <c r="H171" s="206"/>
      <c r="I171" s="207"/>
      <c r="J171" s="208"/>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330"/>
    </row>
    <row r="172" spans="1:36" ht="89.25">
      <c r="A172" s="207"/>
      <c r="B172" s="212"/>
      <c r="C172" s="199"/>
      <c r="D172" s="196" t="s">
        <v>407</v>
      </c>
      <c r="E172" s="210" t="s">
        <v>439</v>
      </c>
      <c r="F172" s="205"/>
      <c r="G172" s="205"/>
      <c r="H172" s="206"/>
      <c r="I172" s="207"/>
      <c r="J172" s="208"/>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330"/>
    </row>
    <row r="173" spans="1:36" ht="204">
      <c r="A173" s="207"/>
      <c r="B173" s="212"/>
      <c r="C173" s="199"/>
      <c r="D173" s="196" t="s">
        <v>407</v>
      </c>
      <c r="E173" s="210" t="s">
        <v>440</v>
      </c>
      <c r="F173" s="205"/>
      <c r="G173" s="205"/>
      <c r="H173" s="206"/>
      <c r="I173" s="207"/>
      <c r="J173" s="208"/>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330"/>
    </row>
    <row r="174" spans="1:36" ht="76.5">
      <c r="A174" s="207"/>
      <c r="B174" s="210"/>
      <c r="C174" s="210"/>
      <c r="D174" s="196" t="s">
        <v>407</v>
      </c>
      <c r="E174" s="210" t="s">
        <v>441</v>
      </c>
      <c r="F174" s="205"/>
      <c r="G174" s="205"/>
      <c r="H174" s="206"/>
      <c r="I174" s="207"/>
      <c r="J174" s="208"/>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330"/>
    </row>
    <row r="175" spans="1:36" ht="89.25">
      <c r="A175" s="201" t="s">
        <v>685</v>
      </c>
      <c r="B175" s="199"/>
      <c r="C175" s="199"/>
      <c r="D175" s="196" t="s">
        <v>407</v>
      </c>
      <c r="E175" s="210" t="s">
        <v>442</v>
      </c>
      <c r="F175" s="205"/>
      <c r="G175" s="205"/>
      <c r="H175" s="206"/>
      <c r="I175" s="207"/>
      <c r="J175" s="208"/>
      <c r="K175" s="205"/>
      <c r="L175" s="492">
        <v>6666</v>
      </c>
      <c r="M175" s="490"/>
      <c r="N175" s="490"/>
      <c r="O175" s="490"/>
      <c r="P175" s="490"/>
      <c r="Q175" s="493">
        <f>SUM(L175:P175)</f>
        <v>6666</v>
      </c>
      <c r="R175" s="492">
        <v>6666</v>
      </c>
      <c r="S175" s="490"/>
      <c r="T175" s="490"/>
      <c r="U175" s="490"/>
      <c r="V175" s="490"/>
      <c r="W175" s="493">
        <f>SUM(R175:V175)</f>
        <v>6666</v>
      </c>
      <c r="X175" s="492">
        <v>6666</v>
      </c>
      <c r="Y175" s="490"/>
      <c r="Z175" s="490"/>
      <c r="AA175" s="490"/>
      <c r="AB175" s="490"/>
      <c r="AC175" s="493">
        <f>SUM(X175:AB175)</f>
        <v>6666</v>
      </c>
      <c r="AD175" s="492">
        <v>6666</v>
      </c>
      <c r="AE175" s="490"/>
      <c r="AF175" s="490"/>
      <c r="AG175" s="490"/>
      <c r="AH175" s="490"/>
      <c r="AI175" s="491">
        <f>SUM(AD175:AH175)</f>
        <v>6666</v>
      </c>
      <c r="AJ175" s="330"/>
    </row>
    <row r="176" spans="1:36" ht="89.25">
      <c r="A176" s="201"/>
      <c r="B176" s="203"/>
      <c r="C176" s="199"/>
      <c r="D176" s="196" t="s">
        <v>407</v>
      </c>
      <c r="E176" s="210" t="s">
        <v>443</v>
      </c>
      <c r="F176" s="205"/>
      <c r="G176" s="205"/>
      <c r="H176" s="206"/>
      <c r="I176" s="207"/>
      <c r="J176" s="208"/>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330"/>
    </row>
    <row r="177" spans="1:36" ht="255">
      <c r="A177" s="207"/>
      <c r="B177" s="200"/>
      <c r="C177" s="199"/>
      <c r="D177" s="196" t="s">
        <v>407</v>
      </c>
      <c r="E177" s="210" t="s">
        <v>569</v>
      </c>
      <c r="F177" s="205"/>
      <c r="G177" s="205"/>
      <c r="H177" s="206"/>
      <c r="I177" s="207"/>
      <c r="J177" s="208"/>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330"/>
    </row>
    <row r="178" spans="1:36" ht="153">
      <c r="A178" s="207"/>
      <c r="B178" s="216"/>
      <c r="C178" s="210"/>
      <c r="D178" s="196" t="s">
        <v>407</v>
      </c>
      <c r="E178" s="210" t="s">
        <v>444</v>
      </c>
      <c r="F178" s="205"/>
      <c r="G178" s="205"/>
      <c r="H178" s="206"/>
      <c r="I178" s="207"/>
      <c r="J178" s="208"/>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330"/>
    </row>
    <row r="179" spans="1:36" ht="102">
      <c r="A179" s="201" t="s">
        <v>686</v>
      </c>
      <c r="B179" s="202"/>
      <c r="C179" s="199"/>
      <c r="D179" s="196" t="s">
        <v>407</v>
      </c>
      <c r="E179" s="210" t="s">
        <v>445</v>
      </c>
      <c r="F179" s="205"/>
      <c r="G179" s="205"/>
      <c r="H179" s="206"/>
      <c r="I179" s="207"/>
      <c r="J179" s="208"/>
      <c r="K179" s="205"/>
      <c r="L179" s="492">
        <v>6666</v>
      </c>
      <c r="M179" s="490"/>
      <c r="N179" s="490"/>
      <c r="O179" s="490"/>
      <c r="P179" s="490"/>
      <c r="Q179" s="493">
        <f>SUM(L179:P179)</f>
        <v>6666</v>
      </c>
      <c r="R179" s="492">
        <v>6666</v>
      </c>
      <c r="S179" s="490"/>
      <c r="T179" s="490"/>
      <c r="U179" s="490"/>
      <c r="V179" s="490"/>
      <c r="W179" s="493">
        <f>SUM(R179:V179)</f>
        <v>6666</v>
      </c>
      <c r="X179" s="492">
        <v>6666</v>
      </c>
      <c r="Y179" s="490"/>
      <c r="Z179" s="490"/>
      <c r="AA179" s="490"/>
      <c r="AB179" s="490"/>
      <c r="AC179" s="493">
        <f>SUM(X179:AB179)</f>
        <v>6666</v>
      </c>
      <c r="AD179" s="492">
        <v>6666</v>
      </c>
      <c r="AE179" s="490"/>
      <c r="AF179" s="490"/>
      <c r="AG179" s="490"/>
      <c r="AH179" s="490"/>
      <c r="AI179" s="491">
        <f>SUM(AD179:AH179)</f>
        <v>6666</v>
      </c>
      <c r="AJ179" s="330"/>
    </row>
    <row r="180" spans="1:36" ht="140.25">
      <c r="A180" s="207"/>
      <c r="B180" s="212"/>
      <c r="C180" s="199"/>
      <c r="D180" s="196" t="s">
        <v>407</v>
      </c>
      <c r="E180" s="210" t="s">
        <v>446</v>
      </c>
      <c r="F180" s="205"/>
      <c r="G180" s="205"/>
      <c r="H180" s="206"/>
      <c r="I180" s="207"/>
      <c r="J180" s="208"/>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330"/>
    </row>
    <row r="181" spans="1:36" ht="229.5">
      <c r="A181" s="217"/>
      <c r="B181" s="218"/>
      <c r="C181" s="199"/>
      <c r="D181" s="196" t="s">
        <v>407</v>
      </c>
      <c r="E181" s="210" t="s">
        <v>447</v>
      </c>
      <c r="F181" s="205"/>
      <c r="G181" s="205"/>
      <c r="H181" s="206"/>
      <c r="I181" s="207"/>
      <c r="J181" s="208"/>
      <c r="K181" s="205"/>
      <c r="L181" s="205"/>
      <c r="M181" s="205"/>
      <c r="N181" s="205"/>
      <c r="O181" s="205"/>
      <c r="P181" s="205"/>
      <c r="Q181" s="205"/>
      <c r="R181" s="205"/>
      <c r="S181" s="205"/>
      <c r="T181" s="205"/>
      <c r="U181" s="205"/>
      <c r="V181" s="205"/>
      <c r="W181" s="491">
        <f>SUM(R181:V181)</f>
        <v>0</v>
      </c>
      <c r="X181" s="205"/>
      <c r="Y181" s="205"/>
      <c r="Z181" s="205"/>
      <c r="AA181" s="205"/>
      <c r="AB181" s="205"/>
      <c r="AC181" s="205"/>
      <c r="AD181" s="205"/>
      <c r="AE181" s="205"/>
      <c r="AF181" s="205"/>
      <c r="AG181" s="205"/>
      <c r="AH181" s="205"/>
      <c r="AI181" s="205"/>
      <c r="AJ181" s="330"/>
    </row>
    <row r="182" spans="1:36" ht="140.25">
      <c r="A182" s="219"/>
      <c r="B182" s="199"/>
      <c r="C182" s="199"/>
      <c r="D182" s="196" t="s">
        <v>407</v>
      </c>
      <c r="E182" s="210" t="s">
        <v>448</v>
      </c>
      <c r="F182" s="205"/>
      <c r="G182" s="205"/>
      <c r="H182" s="206"/>
      <c r="I182" s="207"/>
      <c r="J182" s="208"/>
      <c r="K182" s="205"/>
      <c r="L182" s="494">
        <v>389166</v>
      </c>
      <c r="M182" s="490"/>
      <c r="N182" s="490"/>
      <c r="O182" s="490"/>
      <c r="P182" s="490"/>
      <c r="Q182" s="493">
        <f>SUM(L182:P182)</f>
        <v>389166</v>
      </c>
      <c r="R182" s="495">
        <v>389166</v>
      </c>
      <c r="S182" s="496"/>
      <c r="T182" s="496"/>
      <c r="U182" s="496"/>
      <c r="V182" s="496"/>
      <c r="W182" s="493">
        <f>SUM(R182:V182)</f>
        <v>389166</v>
      </c>
      <c r="X182" s="494">
        <v>389166</v>
      </c>
      <c r="Y182" s="490"/>
      <c r="Z182" s="490"/>
      <c r="AA182" s="490"/>
      <c r="AB182" s="490"/>
      <c r="AC182" s="493">
        <f>SUM(X182:AB182)</f>
        <v>389166</v>
      </c>
      <c r="AD182" s="494">
        <v>389166</v>
      </c>
      <c r="AE182" s="490"/>
      <c r="AF182" s="490"/>
      <c r="AG182" s="490"/>
      <c r="AH182" s="490"/>
      <c r="AI182" s="491">
        <f>SUM(AD182:AH182)</f>
        <v>389166</v>
      </c>
      <c r="AJ182" s="330"/>
    </row>
    <row r="183" spans="1:36" ht="93" customHeight="1">
      <c r="A183" s="213" t="s">
        <v>687</v>
      </c>
      <c r="B183" s="202"/>
      <c r="C183" s="199"/>
      <c r="D183" s="196" t="s">
        <v>407</v>
      </c>
      <c r="E183" s="210" t="s">
        <v>449</v>
      </c>
      <c r="F183" s="220"/>
      <c r="G183" s="220"/>
      <c r="H183" s="221"/>
      <c r="I183" s="217"/>
      <c r="J183" s="222"/>
      <c r="K183" s="220"/>
      <c r="L183" s="220"/>
      <c r="M183" s="220"/>
      <c r="N183" s="220"/>
      <c r="O183" s="220"/>
      <c r="P183" s="220"/>
      <c r="Q183" s="220"/>
      <c r="R183" s="220"/>
      <c r="S183" s="220"/>
      <c r="T183" s="220"/>
      <c r="U183" s="220"/>
      <c r="V183" s="220"/>
      <c r="W183" s="220"/>
      <c r="X183" s="220"/>
      <c r="Y183" s="220"/>
      <c r="Z183" s="220"/>
      <c r="AA183" s="220"/>
      <c r="AB183" s="220"/>
      <c r="AC183" s="220"/>
      <c r="AD183" s="205"/>
      <c r="AE183" s="205"/>
      <c r="AF183" s="205"/>
      <c r="AG183" s="205"/>
      <c r="AH183" s="205"/>
      <c r="AI183" s="205"/>
      <c r="AJ183" s="330"/>
    </row>
    <row r="184" spans="1:36" ht="60" customHeight="1">
      <c r="A184" s="223"/>
      <c r="B184" s="224"/>
      <c r="C184" s="225"/>
      <c r="D184" s="196" t="s">
        <v>407</v>
      </c>
      <c r="E184" s="210" t="s">
        <v>450</v>
      </c>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330"/>
    </row>
    <row r="185" spans="1:36" ht="153.75" customHeight="1" thickBot="1">
      <c r="A185" s="226"/>
      <c r="B185" s="197"/>
      <c r="C185" s="197"/>
      <c r="D185" s="196" t="s">
        <v>407</v>
      </c>
      <c r="E185" s="227" t="s">
        <v>451</v>
      </c>
      <c r="F185" s="197"/>
      <c r="G185" s="197"/>
      <c r="H185" s="197"/>
      <c r="I185" s="197"/>
      <c r="J185" s="197"/>
      <c r="K185" s="197"/>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330"/>
    </row>
    <row r="186" spans="1:36">
      <c r="A186" s="26" t="s">
        <v>276</v>
      </c>
      <c r="B186" s="26"/>
      <c r="C186" s="26"/>
      <c r="D186" s="168"/>
      <c r="E186" s="168"/>
      <c r="F186" s="168"/>
      <c r="G186" s="169"/>
      <c r="H186" s="169"/>
      <c r="I186" s="169"/>
      <c r="J186" s="169"/>
      <c r="K186" s="172"/>
      <c r="L186" s="102"/>
      <c r="M186" s="102"/>
      <c r="N186" s="102"/>
      <c r="O186" s="102"/>
      <c r="P186" s="102"/>
      <c r="Q186" s="366">
        <v>583295</v>
      </c>
      <c r="R186" s="102"/>
      <c r="S186" s="102"/>
      <c r="T186" s="102"/>
      <c r="U186" s="102"/>
      <c r="V186" s="102"/>
      <c r="W186" s="366">
        <v>583295</v>
      </c>
      <c r="X186" s="102"/>
      <c r="Y186" s="102"/>
      <c r="Z186" s="102"/>
      <c r="AA186" s="102"/>
      <c r="AB186" s="102"/>
      <c r="AC186" s="366">
        <v>583295</v>
      </c>
      <c r="AD186" s="102"/>
      <c r="AE186" s="102"/>
      <c r="AF186" s="102"/>
      <c r="AG186" s="102"/>
      <c r="AH186" s="102"/>
      <c r="AI186" s="373">
        <v>583295</v>
      </c>
      <c r="AJ186" s="337">
        <v>2333180</v>
      </c>
    </row>
    <row r="187" spans="1:36">
      <c r="A187" s="103"/>
      <c r="B187" s="103"/>
      <c r="C187" s="103"/>
      <c r="D187" s="415"/>
      <c r="E187" s="415"/>
      <c r="F187" s="415"/>
      <c r="G187" s="416"/>
      <c r="H187" s="416"/>
      <c r="I187" s="416"/>
      <c r="J187" s="416"/>
      <c r="K187" s="295"/>
      <c r="L187" s="423">
        <f>SUM(L141:L185)</f>
        <v>583328</v>
      </c>
      <c r="M187" s="423">
        <f t="shared" ref="M187:AI187" si="11">SUM(M141:M185)</f>
        <v>0</v>
      </c>
      <c r="N187" s="423">
        <f t="shared" si="11"/>
        <v>0</v>
      </c>
      <c r="O187" s="423">
        <f t="shared" si="11"/>
        <v>0</v>
      </c>
      <c r="P187" s="423">
        <f t="shared" si="11"/>
        <v>0</v>
      </c>
      <c r="Q187" s="423">
        <f>SUM(Q141:Q185)</f>
        <v>583328</v>
      </c>
      <c r="R187" s="423">
        <f>SUM(R141:R185)</f>
        <v>583328</v>
      </c>
      <c r="S187" s="423">
        <f t="shared" si="11"/>
        <v>0</v>
      </c>
      <c r="T187" s="423">
        <f t="shared" si="11"/>
        <v>0</v>
      </c>
      <c r="U187" s="423">
        <f t="shared" si="11"/>
        <v>0</v>
      </c>
      <c r="V187" s="423">
        <f t="shared" si="11"/>
        <v>0</v>
      </c>
      <c r="W187" s="423">
        <f t="shared" si="11"/>
        <v>583328</v>
      </c>
      <c r="X187" s="423">
        <f>SUM(X141:X185)</f>
        <v>583328</v>
      </c>
      <c r="Y187" s="423">
        <f t="shared" si="11"/>
        <v>0</v>
      </c>
      <c r="Z187" s="423">
        <f t="shared" si="11"/>
        <v>0</v>
      </c>
      <c r="AA187" s="423">
        <f t="shared" si="11"/>
        <v>0</v>
      </c>
      <c r="AB187" s="423">
        <f t="shared" si="11"/>
        <v>0</v>
      </c>
      <c r="AC187" s="423">
        <f t="shared" si="11"/>
        <v>583328</v>
      </c>
      <c r="AD187" s="423">
        <f>SUM(AD141:AD185)</f>
        <v>583328</v>
      </c>
      <c r="AE187" s="423">
        <f t="shared" si="11"/>
        <v>0</v>
      </c>
      <c r="AF187" s="423">
        <f t="shared" si="11"/>
        <v>0</v>
      </c>
      <c r="AG187" s="423">
        <f t="shared" si="11"/>
        <v>0</v>
      </c>
      <c r="AH187" s="423">
        <f t="shared" si="11"/>
        <v>0</v>
      </c>
      <c r="AI187" s="423">
        <f t="shared" si="11"/>
        <v>583328</v>
      </c>
      <c r="AJ187" s="424">
        <f>SUM(AI187+AC187+W187+Q187)</f>
        <v>2333312</v>
      </c>
    </row>
    <row r="188" spans="1:36">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row>
    <row r="189" spans="1:36">
      <c r="A189" s="138" t="s">
        <v>399</v>
      </c>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row>
    <row r="190" spans="1:36">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row>
    <row r="191" spans="1:36">
      <c r="A191" s="191"/>
      <c r="B191" s="188"/>
      <c r="C191" s="188"/>
      <c r="D191" s="1100" t="s">
        <v>0</v>
      </c>
      <c r="E191" s="1100" t="s">
        <v>340</v>
      </c>
      <c r="F191" s="1107" t="s">
        <v>5</v>
      </c>
      <c r="G191" s="1107"/>
      <c r="H191" s="1100" t="s">
        <v>22</v>
      </c>
      <c r="I191" s="1100" t="s">
        <v>211</v>
      </c>
      <c r="J191" s="1100" t="s">
        <v>212</v>
      </c>
      <c r="K191" s="1100" t="s">
        <v>213</v>
      </c>
      <c r="L191" s="1072" t="s">
        <v>214</v>
      </c>
      <c r="M191" s="1072"/>
      <c r="N191" s="1072"/>
      <c r="O191" s="1072"/>
      <c r="P191" s="1072"/>
      <c r="Q191" s="1072"/>
      <c r="R191" s="1072"/>
      <c r="S191" s="1072"/>
      <c r="T191" s="1072"/>
      <c r="U191" s="1072"/>
      <c r="V191" s="1072"/>
      <c r="W191" s="1072"/>
      <c r="X191" s="1072"/>
      <c r="Y191" s="1072"/>
      <c r="Z191" s="1072"/>
      <c r="AA191" s="1072"/>
      <c r="AB191" s="1072"/>
      <c r="AC191" s="1072"/>
      <c r="AD191" s="1072"/>
      <c r="AE191" s="1072"/>
      <c r="AF191" s="1072"/>
      <c r="AG191" s="1072"/>
      <c r="AH191" s="1072"/>
      <c r="AI191" s="344"/>
      <c r="AJ191" s="331"/>
    </row>
    <row r="192" spans="1:36" ht="38.25">
      <c r="A192" s="1103" t="s">
        <v>341</v>
      </c>
      <c r="B192" s="188" t="s">
        <v>215</v>
      </c>
      <c r="C192" s="188" t="s">
        <v>279</v>
      </c>
      <c r="D192" s="1100"/>
      <c r="E192" s="1106"/>
      <c r="F192" s="1105" t="s">
        <v>217</v>
      </c>
      <c r="G192" s="1105" t="s">
        <v>6</v>
      </c>
      <c r="H192" s="1100"/>
      <c r="I192" s="1100"/>
      <c r="J192" s="1100"/>
      <c r="K192" s="1100"/>
      <c r="L192" s="1071" t="s">
        <v>12</v>
      </c>
      <c r="M192" s="1072"/>
      <c r="N192" s="1072"/>
      <c r="O192" s="1072"/>
      <c r="P192" s="1072"/>
      <c r="Q192" s="1072"/>
      <c r="R192" s="1071" t="s">
        <v>13</v>
      </c>
      <c r="S192" s="1072"/>
      <c r="T192" s="1072"/>
      <c r="U192" s="1072"/>
      <c r="V192" s="1072"/>
      <c r="W192" s="1072"/>
      <c r="X192" s="1071" t="s">
        <v>14</v>
      </c>
      <c r="Y192" s="1072"/>
      <c r="Z192" s="1072"/>
      <c r="AA192" s="1072"/>
      <c r="AB192" s="1072"/>
      <c r="AC192" s="1072"/>
      <c r="AD192" s="1071" t="s">
        <v>15</v>
      </c>
      <c r="AE192" s="1072"/>
      <c r="AF192" s="1072"/>
      <c r="AG192" s="1072"/>
      <c r="AH192" s="1072"/>
      <c r="AI192" s="345"/>
      <c r="AJ192" s="330"/>
    </row>
    <row r="193" spans="1:36" ht="30">
      <c r="A193" s="1104"/>
      <c r="B193" s="188"/>
      <c r="C193" s="188"/>
      <c r="D193" s="1100"/>
      <c r="E193" s="1106"/>
      <c r="F193" s="1105"/>
      <c r="G193" s="1105"/>
      <c r="H193" s="1100"/>
      <c r="I193" s="1100"/>
      <c r="J193" s="1100"/>
      <c r="K193" s="1100"/>
      <c r="L193" s="189" t="s">
        <v>1</v>
      </c>
      <c r="M193" s="189" t="s">
        <v>9</v>
      </c>
      <c r="N193" s="189" t="s">
        <v>218</v>
      </c>
      <c r="O193" s="140" t="s">
        <v>17</v>
      </c>
      <c r="P193" s="140" t="s">
        <v>19</v>
      </c>
      <c r="Q193" s="140" t="s">
        <v>4</v>
      </c>
      <c r="R193" s="189" t="s">
        <v>1</v>
      </c>
      <c r="S193" s="189" t="s">
        <v>2</v>
      </c>
      <c r="T193" s="189" t="s">
        <v>219</v>
      </c>
      <c r="U193" s="189" t="s">
        <v>17</v>
      </c>
      <c r="V193" s="189" t="s">
        <v>19</v>
      </c>
      <c r="W193" s="189" t="s">
        <v>4</v>
      </c>
      <c r="X193" s="189" t="s">
        <v>1</v>
      </c>
      <c r="Y193" s="189" t="s">
        <v>9</v>
      </c>
      <c r="Z193" s="189" t="s">
        <v>218</v>
      </c>
      <c r="AA193" s="140" t="s">
        <v>17</v>
      </c>
      <c r="AB193" s="140" t="s">
        <v>19</v>
      </c>
      <c r="AC193" s="140" t="s">
        <v>4</v>
      </c>
      <c r="AD193" s="189" t="s">
        <v>1</v>
      </c>
      <c r="AE193" s="189" t="s">
        <v>9</v>
      </c>
      <c r="AF193" s="189" t="s">
        <v>219</v>
      </c>
      <c r="AG193" s="140" t="s">
        <v>17</v>
      </c>
      <c r="AH193" s="140" t="s">
        <v>19</v>
      </c>
      <c r="AI193" s="346" t="s">
        <v>688</v>
      </c>
      <c r="AJ193" s="351" t="s">
        <v>689</v>
      </c>
    </row>
    <row r="194" spans="1:36">
      <c r="A194" s="141" t="s">
        <v>33</v>
      </c>
      <c r="B194" s="141" t="s">
        <v>34</v>
      </c>
      <c r="C194" s="141" t="s">
        <v>45</v>
      </c>
      <c r="D194" s="141" t="s">
        <v>35</v>
      </c>
      <c r="E194" s="141" t="s">
        <v>36</v>
      </c>
      <c r="F194" s="141" t="s">
        <v>37</v>
      </c>
      <c r="G194" s="141" t="s">
        <v>38</v>
      </c>
      <c r="H194" s="229" t="s">
        <v>39</v>
      </c>
      <c r="I194" s="141" t="s">
        <v>40</v>
      </c>
      <c r="J194" s="143" t="s">
        <v>41</v>
      </c>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342"/>
      <c r="AJ194" s="330"/>
    </row>
    <row r="195" spans="1:36">
      <c r="A195" s="1101" t="s">
        <v>397</v>
      </c>
      <c r="B195" s="1102"/>
      <c r="C195" s="1102"/>
      <c r="D195" s="1102"/>
      <c r="E195" s="1102"/>
      <c r="F195" s="144"/>
      <c r="G195" s="145"/>
      <c r="H195" s="230"/>
      <c r="I195" s="145"/>
      <c r="J195" s="147"/>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342"/>
      <c r="AJ195" s="330"/>
    </row>
    <row r="196" spans="1:36">
      <c r="A196" s="1075" t="s">
        <v>401</v>
      </c>
      <c r="B196" s="1076"/>
      <c r="C196" s="1076"/>
      <c r="D196" s="1076"/>
      <c r="E196" s="1076"/>
      <c r="F196" s="148"/>
      <c r="G196" s="149"/>
      <c r="H196" s="232"/>
      <c r="I196" s="149"/>
      <c r="J196" s="151"/>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342"/>
      <c r="AJ196" s="330"/>
    </row>
    <row r="197" spans="1:36">
      <c r="A197" s="1075" t="s">
        <v>456</v>
      </c>
      <c r="B197" s="1076"/>
      <c r="C197" s="1076"/>
      <c r="D197" s="1076"/>
      <c r="E197" s="1076"/>
      <c r="F197" s="1076"/>
      <c r="G197" s="1076"/>
      <c r="H197" s="1076"/>
      <c r="I197" s="1076"/>
      <c r="J197" s="1076"/>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342"/>
      <c r="AJ197" s="330"/>
    </row>
    <row r="198" spans="1:36">
      <c r="A198" s="1075" t="s">
        <v>403</v>
      </c>
      <c r="B198" s="1076"/>
      <c r="C198" s="1076"/>
      <c r="D198" s="1076"/>
      <c r="E198" s="148"/>
      <c r="F198" s="148"/>
      <c r="G198" s="149"/>
      <c r="H198" s="232"/>
      <c r="I198" s="149"/>
      <c r="J198" s="151"/>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342"/>
      <c r="AJ198" s="330"/>
    </row>
    <row r="199" spans="1:36" ht="76.5">
      <c r="A199" s="184" t="s">
        <v>468</v>
      </c>
      <c r="B199" s="149"/>
      <c r="C199" s="151"/>
      <c r="D199" s="233" t="s">
        <v>457</v>
      </c>
      <c r="E199" s="234" t="s">
        <v>458</v>
      </c>
      <c r="F199" s="235" t="s">
        <v>80</v>
      </c>
      <c r="G199" s="155" t="s">
        <v>65</v>
      </c>
      <c r="H199" s="235">
        <v>7</v>
      </c>
      <c r="I199" s="235">
        <v>5</v>
      </c>
      <c r="J199" s="151"/>
      <c r="K199" s="148"/>
      <c r="L199" s="158">
        <v>0</v>
      </c>
      <c r="M199" s="148"/>
      <c r="N199" s="148"/>
      <c r="O199" s="148"/>
      <c r="P199" s="148"/>
      <c r="Q199" s="155">
        <f>SUM(L199:P199)</f>
        <v>0</v>
      </c>
      <c r="R199" s="236">
        <v>167716.22</v>
      </c>
      <c r="S199" s="148"/>
      <c r="T199" s="148"/>
      <c r="U199" s="148"/>
      <c r="V199" s="148"/>
      <c r="W199" s="236">
        <v>167716.22</v>
      </c>
      <c r="X199" s="236">
        <v>167716.22</v>
      </c>
      <c r="Y199" s="148"/>
      <c r="Z199" s="148"/>
      <c r="AA199" s="148"/>
      <c r="AB199" s="148"/>
      <c r="AC199" s="236">
        <v>167716.22</v>
      </c>
      <c r="AD199" s="236">
        <v>298805.71999999997</v>
      </c>
      <c r="AE199" s="148"/>
      <c r="AF199" s="148"/>
      <c r="AG199" s="148"/>
      <c r="AH199" s="148"/>
      <c r="AI199" s="429">
        <f>SUM(AD199:AH199)</f>
        <v>298805.71999999997</v>
      </c>
      <c r="AJ199" s="330"/>
    </row>
    <row r="200" spans="1:36" ht="63.75">
      <c r="A200" s="185"/>
      <c r="B200" s="237"/>
      <c r="C200" s="151"/>
      <c r="D200" s="233" t="s">
        <v>459</v>
      </c>
      <c r="E200" s="234" t="s">
        <v>460</v>
      </c>
      <c r="F200" s="235" t="s">
        <v>80</v>
      </c>
      <c r="G200" s="155" t="s">
        <v>65</v>
      </c>
      <c r="H200" s="235">
        <v>7</v>
      </c>
      <c r="I200" s="235">
        <v>5</v>
      </c>
      <c r="J200" s="151"/>
      <c r="K200" s="148"/>
      <c r="L200" s="236">
        <v>40181</v>
      </c>
      <c r="M200" s="148"/>
      <c r="N200" s="148"/>
      <c r="O200" s="148"/>
      <c r="P200" s="148"/>
      <c r="Q200" s="155">
        <f>SUM(L200:P200)</f>
        <v>40181</v>
      </c>
      <c r="R200" s="148">
        <v>0</v>
      </c>
      <c r="S200" s="148"/>
      <c r="T200" s="148"/>
      <c r="U200" s="148"/>
      <c r="V200" s="148"/>
      <c r="W200" s="155">
        <f t="shared" ref="W200:W210" si="12">SUM(R200:V200)</f>
        <v>0</v>
      </c>
      <c r="X200" s="148">
        <v>0</v>
      </c>
      <c r="Y200" s="148">
        <v>0</v>
      </c>
      <c r="Z200" s="148"/>
      <c r="AA200" s="148"/>
      <c r="AB200" s="148"/>
      <c r="AC200" s="148">
        <f t="shared" ref="AC200:AC211" si="13">SUM(X200:AB200)</f>
        <v>0</v>
      </c>
      <c r="AD200" s="148">
        <v>0</v>
      </c>
      <c r="AE200" s="148"/>
      <c r="AF200" s="148"/>
      <c r="AG200" s="148"/>
      <c r="AH200" s="148"/>
      <c r="AI200" s="429">
        <f t="shared" ref="AI200:AI211" si="14">SUM(AD200:AH200)</f>
        <v>0</v>
      </c>
      <c r="AJ200" s="330"/>
    </row>
    <row r="201" spans="1:36" ht="76.5">
      <c r="A201" s="185"/>
      <c r="B201" s="237"/>
      <c r="C201" s="151"/>
      <c r="D201" s="233" t="s">
        <v>461</v>
      </c>
      <c r="E201" s="234" t="s">
        <v>462</v>
      </c>
      <c r="F201" s="235" t="s">
        <v>80</v>
      </c>
      <c r="G201" s="155" t="s">
        <v>65</v>
      </c>
      <c r="H201" s="235">
        <v>7</v>
      </c>
      <c r="I201" s="235">
        <v>5</v>
      </c>
      <c r="J201" s="151"/>
      <c r="K201" s="148"/>
      <c r="L201" s="158"/>
      <c r="M201" s="148"/>
      <c r="N201" s="148"/>
      <c r="O201" s="148"/>
      <c r="P201" s="148"/>
      <c r="Q201" s="155">
        <f t="shared" ref="Q201:Q211" si="15">SUM(L201:P201)</f>
        <v>0</v>
      </c>
      <c r="R201" s="236">
        <f>17395+25483</f>
        <v>42878</v>
      </c>
      <c r="S201" s="148"/>
      <c r="T201" s="148"/>
      <c r="U201" s="148"/>
      <c r="V201" s="148"/>
      <c r="W201" s="236">
        <f>17395+25483</f>
        <v>42878</v>
      </c>
      <c r="X201" s="236">
        <v>69995</v>
      </c>
      <c r="Y201" s="148"/>
      <c r="Z201" s="148"/>
      <c r="AA201" s="148"/>
      <c r="AB201" s="148"/>
      <c r="AC201" s="236">
        <v>69995</v>
      </c>
      <c r="AD201" s="236">
        <v>39600</v>
      </c>
      <c r="AE201" s="148"/>
      <c r="AF201" s="148"/>
      <c r="AG201" s="148"/>
      <c r="AH201" s="148"/>
      <c r="AI201" s="429">
        <f t="shared" si="14"/>
        <v>39600</v>
      </c>
      <c r="AJ201" s="330"/>
    </row>
    <row r="202" spans="1:36">
      <c r="A202" s="165"/>
      <c r="B202" s="237"/>
      <c r="C202" s="151"/>
      <c r="D202" s="149"/>
      <c r="E202" s="151"/>
      <c r="F202" s="148"/>
      <c r="G202" s="148"/>
      <c r="H202" s="148"/>
      <c r="I202" s="149"/>
      <c r="J202" s="151"/>
      <c r="K202" s="148"/>
      <c r="L202" s="158"/>
      <c r="M202" s="148"/>
      <c r="N202" s="148"/>
      <c r="O202" s="148"/>
      <c r="P202" s="148"/>
      <c r="Q202" s="155">
        <f t="shared" si="15"/>
        <v>0</v>
      </c>
      <c r="R202" s="148"/>
      <c r="S202" s="148"/>
      <c r="T202" s="148"/>
      <c r="U202" s="148"/>
      <c r="V202" s="148"/>
      <c r="W202" s="155">
        <f t="shared" si="12"/>
        <v>0</v>
      </c>
      <c r="X202" s="148"/>
      <c r="Y202" s="148"/>
      <c r="Z202" s="148"/>
      <c r="AA202" s="148"/>
      <c r="AB202" s="148"/>
      <c r="AC202" s="148">
        <f t="shared" si="13"/>
        <v>0</v>
      </c>
      <c r="AD202" s="148"/>
      <c r="AE202" s="148"/>
      <c r="AF202" s="148"/>
      <c r="AG202" s="148"/>
      <c r="AH202" s="148"/>
      <c r="AI202" s="429">
        <f t="shared" si="14"/>
        <v>0</v>
      </c>
      <c r="AJ202" s="330"/>
    </row>
    <row r="203" spans="1:36" ht="89.25">
      <c r="A203" s="66" t="s">
        <v>481</v>
      </c>
      <c r="B203" s="149"/>
      <c r="C203" s="148"/>
      <c r="D203" s="233" t="s">
        <v>461</v>
      </c>
      <c r="E203" s="234" t="s">
        <v>463</v>
      </c>
      <c r="F203" s="148" t="s">
        <v>80</v>
      </c>
      <c r="G203" s="155" t="s">
        <v>65</v>
      </c>
      <c r="H203" s="235">
        <v>7</v>
      </c>
      <c r="I203" s="235">
        <v>5</v>
      </c>
      <c r="J203" s="151"/>
      <c r="K203" s="148"/>
      <c r="L203" s="148"/>
      <c r="M203" s="148"/>
      <c r="N203" s="148"/>
      <c r="O203" s="148"/>
      <c r="P203" s="148"/>
      <c r="Q203" s="155">
        <f t="shared" si="15"/>
        <v>0</v>
      </c>
      <c r="R203" s="236">
        <v>25000</v>
      </c>
      <c r="S203" s="148"/>
      <c r="T203" s="148"/>
      <c r="U203" s="148"/>
      <c r="V203" s="148"/>
      <c r="W203" s="236">
        <v>25000</v>
      </c>
      <c r="X203" s="236">
        <v>25000</v>
      </c>
      <c r="Y203" s="148"/>
      <c r="Z203" s="148"/>
      <c r="AA203" s="148"/>
      <c r="AB203" s="148"/>
      <c r="AC203" s="236">
        <v>25000</v>
      </c>
      <c r="AD203" s="236">
        <v>25000</v>
      </c>
      <c r="AE203" s="148"/>
      <c r="AF203" s="148"/>
      <c r="AG203" s="148"/>
      <c r="AH203" s="148"/>
      <c r="AI203" s="429">
        <f t="shared" si="14"/>
        <v>25000</v>
      </c>
      <c r="AJ203" s="330"/>
    </row>
    <row r="204" spans="1:36" ht="89.25">
      <c r="A204" s="66" t="s">
        <v>482</v>
      </c>
      <c r="B204" s="237"/>
      <c r="C204" s="151"/>
      <c r="D204" s="233" t="s">
        <v>404</v>
      </c>
      <c r="E204" s="234" t="s">
        <v>464</v>
      </c>
      <c r="F204" s="235" t="s">
        <v>80</v>
      </c>
      <c r="G204" s="155" t="s">
        <v>65</v>
      </c>
      <c r="H204" s="235">
        <v>7</v>
      </c>
      <c r="I204" s="235" t="s">
        <v>465</v>
      </c>
      <c r="J204" s="151"/>
      <c r="K204" s="148"/>
      <c r="L204" s="236">
        <v>12500</v>
      </c>
      <c r="M204" s="148"/>
      <c r="N204" s="148"/>
      <c r="O204" s="148"/>
      <c r="P204" s="148"/>
      <c r="Q204" s="155">
        <f t="shared" si="15"/>
        <v>12500</v>
      </c>
      <c r="R204" s="148">
        <v>0</v>
      </c>
      <c r="S204" s="148"/>
      <c r="T204" s="148"/>
      <c r="U204" s="148"/>
      <c r="V204" s="148"/>
      <c r="W204" s="155">
        <f>SUM(R204:V204)</f>
        <v>0</v>
      </c>
      <c r="X204" s="148">
        <v>0</v>
      </c>
      <c r="Y204" s="148"/>
      <c r="Z204" s="148"/>
      <c r="AA204" s="148"/>
      <c r="AB204" s="148"/>
      <c r="AC204" s="148">
        <f t="shared" si="13"/>
        <v>0</v>
      </c>
      <c r="AD204" s="148">
        <v>0</v>
      </c>
      <c r="AE204" s="148"/>
      <c r="AF204" s="148"/>
      <c r="AG204" s="148"/>
      <c r="AH204" s="148"/>
      <c r="AI204" s="429">
        <f t="shared" si="14"/>
        <v>0</v>
      </c>
      <c r="AJ204" s="330"/>
    </row>
    <row r="205" spans="1:36" ht="76.5">
      <c r="A205" s="66" t="s">
        <v>483</v>
      </c>
      <c r="B205" s="149"/>
      <c r="C205" s="148"/>
      <c r="D205" s="233" t="s">
        <v>404</v>
      </c>
      <c r="E205" s="234" t="s">
        <v>466</v>
      </c>
      <c r="F205" s="235" t="s">
        <v>80</v>
      </c>
      <c r="G205" s="155" t="s">
        <v>65</v>
      </c>
      <c r="H205" s="235">
        <v>7</v>
      </c>
      <c r="I205" s="235">
        <v>5</v>
      </c>
      <c r="J205" s="151"/>
      <c r="K205" s="148"/>
      <c r="L205" s="236">
        <v>20000</v>
      </c>
      <c r="M205" s="148"/>
      <c r="N205" s="148"/>
      <c r="O205" s="148"/>
      <c r="P205" s="148"/>
      <c r="Q205" s="155">
        <f t="shared" si="15"/>
        <v>20000</v>
      </c>
      <c r="R205" s="236">
        <v>0</v>
      </c>
      <c r="S205" s="148"/>
      <c r="T205" s="148"/>
      <c r="U205" s="148"/>
      <c r="V205" s="148"/>
      <c r="W205" s="155">
        <f t="shared" si="12"/>
        <v>0</v>
      </c>
      <c r="X205" s="236">
        <v>0</v>
      </c>
      <c r="Y205" s="148"/>
      <c r="Z205" s="148"/>
      <c r="AA205" s="148"/>
      <c r="AB205" s="148"/>
      <c r="AC205" s="148">
        <f t="shared" si="13"/>
        <v>0</v>
      </c>
      <c r="AD205" s="236">
        <v>0</v>
      </c>
      <c r="AE205" s="148"/>
      <c r="AF205" s="148"/>
      <c r="AG205" s="148"/>
      <c r="AH205" s="148"/>
      <c r="AI205" s="429">
        <f t="shared" si="14"/>
        <v>0</v>
      </c>
      <c r="AJ205" s="330"/>
    </row>
    <row r="206" spans="1:36">
      <c r="A206" s="1094" t="s">
        <v>467</v>
      </c>
      <c r="B206" s="1094"/>
      <c r="C206" s="1094"/>
      <c r="D206" s="1094"/>
      <c r="E206" s="1094"/>
      <c r="F206" s="1094"/>
      <c r="G206" s="1094"/>
      <c r="H206" s="1094"/>
      <c r="I206" s="1094"/>
      <c r="J206" s="151"/>
      <c r="K206" s="148"/>
      <c r="L206" s="148"/>
      <c r="M206" s="148"/>
      <c r="N206" s="148"/>
      <c r="O206" s="148"/>
      <c r="P206" s="148"/>
      <c r="Q206" s="155">
        <f t="shared" si="15"/>
        <v>0</v>
      </c>
      <c r="R206" s="148"/>
      <c r="S206" s="148"/>
      <c r="T206" s="148"/>
      <c r="U206" s="148"/>
      <c r="V206" s="148"/>
      <c r="W206" s="155">
        <f t="shared" si="12"/>
        <v>0</v>
      </c>
      <c r="X206" s="148"/>
      <c r="Y206" s="148"/>
      <c r="Z206" s="148"/>
      <c r="AA206" s="148"/>
      <c r="AB206" s="148"/>
      <c r="AC206" s="148">
        <f t="shared" si="13"/>
        <v>0</v>
      </c>
      <c r="AD206" s="148"/>
      <c r="AE206" s="148"/>
      <c r="AF206" s="148"/>
      <c r="AG206" s="148"/>
      <c r="AH206" s="148"/>
      <c r="AI206" s="429">
        <f t="shared" si="14"/>
        <v>0</v>
      </c>
      <c r="AJ206" s="330"/>
    </row>
    <row r="207" spans="1:36" ht="76.5">
      <c r="A207" s="1094" t="s">
        <v>468</v>
      </c>
      <c r="B207" s="149"/>
      <c r="C207" s="148"/>
      <c r="D207" s="238" t="s">
        <v>469</v>
      </c>
      <c r="E207" s="234" t="s">
        <v>470</v>
      </c>
      <c r="F207" s="235" t="s">
        <v>80</v>
      </c>
      <c r="G207" s="148" t="s">
        <v>65</v>
      </c>
      <c r="H207" s="235">
        <v>7</v>
      </c>
      <c r="I207" s="235">
        <v>5</v>
      </c>
      <c r="J207" s="151"/>
      <c r="K207" s="148"/>
      <c r="L207" s="148">
        <v>0</v>
      </c>
      <c r="M207" s="148"/>
      <c r="N207" s="148"/>
      <c r="O207" s="157"/>
      <c r="P207" s="148"/>
      <c r="Q207" s="155">
        <f t="shared" si="15"/>
        <v>0</v>
      </c>
      <c r="R207" s="236">
        <v>20000</v>
      </c>
      <c r="S207" s="148"/>
      <c r="T207" s="148"/>
      <c r="U207" s="157"/>
      <c r="V207" s="148"/>
      <c r="W207" s="155">
        <f t="shared" si="12"/>
        <v>20000</v>
      </c>
      <c r="X207" s="148">
        <v>0</v>
      </c>
      <c r="Y207" s="148"/>
      <c r="Z207" s="148"/>
      <c r="AA207" s="148"/>
      <c r="AB207" s="148"/>
      <c r="AC207" s="148">
        <f t="shared" si="13"/>
        <v>0</v>
      </c>
      <c r="AD207" s="148">
        <v>0</v>
      </c>
      <c r="AE207" s="148"/>
      <c r="AF207" s="148"/>
      <c r="AG207" s="157"/>
      <c r="AH207" s="148"/>
      <c r="AI207" s="429">
        <f t="shared" si="14"/>
        <v>0</v>
      </c>
      <c r="AJ207" s="330"/>
    </row>
    <row r="208" spans="1:36" ht="76.5">
      <c r="A208" s="1094"/>
      <c r="B208" s="149"/>
      <c r="C208" s="148"/>
      <c r="D208" s="238" t="s">
        <v>471</v>
      </c>
      <c r="E208" s="234" t="s">
        <v>472</v>
      </c>
      <c r="F208" s="235" t="s">
        <v>80</v>
      </c>
      <c r="G208" s="148" t="s">
        <v>65</v>
      </c>
      <c r="H208" s="235">
        <v>7</v>
      </c>
      <c r="I208" s="235">
        <v>5</v>
      </c>
      <c r="J208" s="151"/>
      <c r="K208" s="148"/>
      <c r="L208" s="158">
        <v>0</v>
      </c>
      <c r="M208" s="148"/>
      <c r="N208" s="148"/>
      <c r="O208" s="148"/>
      <c r="P208" s="148"/>
      <c r="Q208" s="155">
        <f t="shared" si="15"/>
        <v>0</v>
      </c>
      <c r="R208" s="236">
        <v>66593</v>
      </c>
      <c r="S208" s="148"/>
      <c r="T208" s="148"/>
      <c r="U208" s="148"/>
      <c r="V208" s="148"/>
      <c r="W208" s="236">
        <v>66593</v>
      </c>
      <c r="X208" s="236">
        <v>49984</v>
      </c>
      <c r="Y208" s="148"/>
      <c r="Z208" s="148"/>
      <c r="AA208" s="148"/>
      <c r="AB208" s="148"/>
      <c r="AC208" s="236">
        <v>49984</v>
      </c>
      <c r="AD208" s="236">
        <v>73217</v>
      </c>
      <c r="AE208" s="148"/>
      <c r="AF208" s="148"/>
      <c r="AG208" s="148"/>
      <c r="AH208" s="148"/>
      <c r="AI208" s="429">
        <f t="shared" si="14"/>
        <v>73217</v>
      </c>
      <c r="AJ208" s="330"/>
    </row>
    <row r="209" spans="1:36" ht="76.5">
      <c r="A209" s="1094"/>
      <c r="B209" s="149"/>
      <c r="C209" s="148"/>
      <c r="D209" s="235" t="s">
        <v>473</v>
      </c>
      <c r="E209" s="234" t="s">
        <v>474</v>
      </c>
      <c r="F209" s="235" t="s">
        <v>80</v>
      </c>
      <c r="G209" s="148" t="s">
        <v>65</v>
      </c>
      <c r="H209" s="235">
        <v>7</v>
      </c>
      <c r="I209" s="235">
        <v>5</v>
      </c>
      <c r="J209" s="151"/>
      <c r="K209" s="148"/>
      <c r="L209" s="236">
        <v>2285</v>
      </c>
      <c r="M209" s="148"/>
      <c r="N209" s="148"/>
      <c r="O209" s="157"/>
      <c r="P209" s="148"/>
      <c r="Q209" s="155">
        <f t="shared" si="15"/>
        <v>2285</v>
      </c>
      <c r="R209" s="236">
        <v>6310</v>
      </c>
      <c r="S209" s="148"/>
      <c r="T209" s="148"/>
      <c r="U209" s="157"/>
      <c r="V209" s="148"/>
      <c r="W209" s="155">
        <f t="shared" si="12"/>
        <v>6310</v>
      </c>
      <c r="X209" s="236">
        <v>5590</v>
      </c>
      <c r="Y209" s="148"/>
      <c r="Z209" s="148"/>
      <c r="AA209" s="148"/>
      <c r="AB209" s="148"/>
      <c r="AC209" s="236">
        <v>5590</v>
      </c>
      <c r="AD209" s="236">
        <v>2460</v>
      </c>
      <c r="AE209" s="148"/>
      <c r="AF209" s="148"/>
      <c r="AG209" s="157"/>
      <c r="AH209" s="148"/>
      <c r="AI209" s="429">
        <f t="shared" si="14"/>
        <v>2460</v>
      </c>
      <c r="AJ209" s="330"/>
    </row>
    <row r="210" spans="1:36" ht="89.25">
      <c r="A210" s="66" t="s">
        <v>475</v>
      </c>
      <c r="B210" s="149"/>
      <c r="C210" s="148"/>
      <c r="D210" s="233" t="s">
        <v>404</v>
      </c>
      <c r="E210" s="234" t="s">
        <v>476</v>
      </c>
      <c r="F210" s="235" t="s">
        <v>80</v>
      </c>
      <c r="G210" s="148" t="s">
        <v>65</v>
      </c>
      <c r="H210" s="235" t="s">
        <v>406</v>
      </c>
      <c r="I210" s="149">
        <v>5</v>
      </c>
      <c r="J210" s="151"/>
      <c r="K210" s="148"/>
      <c r="L210" s="239">
        <v>0</v>
      </c>
      <c r="M210" s="148"/>
      <c r="N210" s="148"/>
      <c r="O210" s="148"/>
      <c r="P210" s="148"/>
      <c r="Q210" s="155">
        <f t="shared" si="15"/>
        <v>0</v>
      </c>
      <c r="R210" s="148">
        <v>0</v>
      </c>
      <c r="S210" s="148"/>
      <c r="T210" s="148"/>
      <c r="U210" s="148"/>
      <c r="V210" s="148"/>
      <c r="W210" s="155">
        <f t="shared" si="12"/>
        <v>0</v>
      </c>
      <c r="X210" s="236">
        <v>100000</v>
      </c>
      <c r="Y210" s="148"/>
      <c r="Z210" s="148"/>
      <c r="AA210" s="148"/>
      <c r="AB210" s="148"/>
      <c r="AC210" s="236">
        <v>100000</v>
      </c>
      <c r="AD210" s="236">
        <v>100000</v>
      </c>
      <c r="AE210" s="148"/>
      <c r="AF210" s="148"/>
      <c r="AG210" s="148"/>
      <c r="AH210" s="148"/>
      <c r="AI210" s="429">
        <f t="shared" si="14"/>
        <v>100000</v>
      </c>
      <c r="AJ210" s="330"/>
    </row>
    <row r="211" spans="1:36" ht="89.25">
      <c r="A211" s="66" t="s">
        <v>477</v>
      </c>
      <c r="B211" s="149"/>
      <c r="C211" s="148"/>
      <c r="D211" s="233" t="s">
        <v>404</v>
      </c>
      <c r="E211" s="234" t="s">
        <v>478</v>
      </c>
      <c r="F211" s="235" t="s">
        <v>80</v>
      </c>
      <c r="G211" s="148"/>
      <c r="H211" s="235">
        <v>7</v>
      </c>
      <c r="I211" s="235">
        <v>5</v>
      </c>
      <c r="J211" s="151"/>
      <c r="K211" s="148"/>
      <c r="L211" s="148">
        <v>0</v>
      </c>
      <c r="M211" s="148"/>
      <c r="N211" s="148"/>
      <c r="O211" s="148"/>
      <c r="P211" s="148"/>
      <c r="Q211" s="155">
        <f t="shared" si="15"/>
        <v>0</v>
      </c>
      <c r="R211" s="240">
        <v>126056.23</v>
      </c>
      <c r="S211" s="148"/>
      <c r="T211" s="148"/>
      <c r="U211" s="148"/>
      <c r="V211" s="148"/>
      <c r="W211" s="430">
        <f>SUM(R211:V211)</f>
        <v>126056.23</v>
      </c>
      <c r="X211" s="240"/>
      <c r="Y211" s="148">
        <v>0</v>
      </c>
      <c r="Z211" s="148"/>
      <c r="AA211" s="148"/>
      <c r="AB211" s="148"/>
      <c r="AC211" s="148">
        <f t="shared" si="13"/>
        <v>0</v>
      </c>
      <c r="AD211" s="148">
        <v>0</v>
      </c>
      <c r="AE211" s="148"/>
      <c r="AF211" s="148"/>
      <c r="AG211" s="148"/>
      <c r="AH211" s="148"/>
      <c r="AI211" s="429">
        <f t="shared" si="14"/>
        <v>0</v>
      </c>
      <c r="AJ211" s="330"/>
    </row>
    <row r="212" spans="1:36">
      <c r="A212" s="241" t="s">
        <v>479</v>
      </c>
      <c r="B212" s="170"/>
      <c r="C212" s="175"/>
      <c r="D212" s="352"/>
      <c r="E212" s="353"/>
      <c r="F212" s="354"/>
      <c r="G212" s="175"/>
      <c r="H212" s="354"/>
      <c r="I212" s="354"/>
      <c r="J212" s="171"/>
      <c r="K212" s="175"/>
      <c r="L212" s="312">
        <v>74966</v>
      </c>
      <c r="M212" s="175"/>
      <c r="N212" s="175"/>
      <c r="O212" s="175"/>
      <c r="P212" s="175"/>
      <c r="Q212" s="355">
        <v>74966</v>
      </c>
      <c r="R212" s="356">
        <v>454553</v>
      </c>
      <c r="S212" s="175"/>
      <c r="T212" s="175"/>
      <c r="U212" s="175"/>
      <c r="V212" s="175"/>
      <c r="W212" s="357">
        <v>454533</v>
      </c>
      <c r="X212" s="356">
        <v>344421</v>
      </c>
      <c r="Y212" s="175"/>
      <c r="Z212" s="175"/>
      <c r="AA212" s="175"/>
      <c r="AB212" s="175"/>
      <c r="AC212" s="312">
        <v>344421</v>
      </c>
      <c r="AD212" s="312">
        <v>539083</v>
      </c>
      <c r="AE212" s="175"/>
      <c r="AF212" s="175"/>
      <c r="AG212" s="175"/>
      <c r="AH212" s="175"/>
      <c r="AI212" s="358">
        <v>539083</v>
      </c>
      <c r="AJ212" s="359">
        <v>1413023</v>
      </c>
    </row>
    <row r="213" spans="1:36">
      <c r="A213" s="241"/>
      <c r="B213" s="170"/>
      <c r="C213" s="175"/>
      <c r="D213" s="352"/>
      <c r="E213" s="353"/>
      <c r="F213" s="354"/>
      <c r="G213" s="175"/>
      <c r="H213" s="354"/>
      <c r="I213" s="354"/>
      <c r="J213" s="171"/>
      <c r="K213" s="175"/>
      <c r="L213" s="425">
        <f>SUM(L199:L211)</f>
        <v>74966</v>
      </c>
      <c r="M213" s="425">
        <f t="shared" ref="M213:AG213" si="16">SUM(M199:M211)</f>
        <v>0</v>
      </c>
      <c r="N213" s="425">
        <f t="shared" si="16"/>
        <v>0</v>
      </c>
      <c r="O213" s="425">
        <f t="shared" si="16"/>
        <v>0</v>
      </c>
      <c r="P213" s="425">
        <f t="shared" si="16"/>
        <v>0</v>
      </c>
      <c r="Q213" s="425">
        <f t="shared" si="16"/>
        <v>74966</v>
      </c>
      <c r="R213" s="425">
        <f t="shared" si="16"/>
        <v>454553.44999999995</v>
      </c>
      <c r="S213" s="425">
        <f t="shared" si="16"/>
        <v>0</v>
      </c>
      <c r="T213" s="425">
        <f t="shared" si="16"/>
        <v>0</v>
      </c>
      <c r="U213" s="425">
        <f t="shared" si="16"/>
        <v>0</v>
      </c>
      <c r="V213" s="425">
        <f t="shared" si="16"/>
        <v>0</v>
      </c>
      <c r="W213" s="425">
        <f t="shared" si="16"/>
        <v>454553.44999999995</v>
      </c>
      <c r="X213" s="425">
        <f t="shared" si="16"/>
        <v>418285.22</v>
      </c>
      <c r="Y213" s="425">
        <f t="shared" si="16"/>
        <v>0</v>
      </c>
      <c r="Z213" s="425">
        <f t="shared" si="16"/>
        <v>0</v>
      </c>
      <c r="AA213" s="425">
        <f t="shared" si="16"/>
        <v>0</v>
      </c>
      <c r="AB213" s="425">
        <f t="shared" si="16"/>
        <v>0</v>
      </c>
      <c r="AC213" s="425">
        <f t="shared" si="16"/>
        <v>418285.22</v>
      </c>
      <c r="AD213" s="425">
        <f t="shared" si="16"/>
        <v>539082.72</v>
      </c>
      <c r="AE213" s="425">
        <f t="shared" si="16"/>
        <v>0</v>
      </c>
      <c r="AF213" s="425">
        <f t="shared" si="16"/>
        <v>0</v>
      </c>
      <c r="AG213" s="425">
        <f t="shared" si="16"/>
        <v>0</v>
      </c>
      <c r="AH213" s="425">
        <f>SUM(AH199:AH211)</f>
        <v>0</v>
      </c>
      <c r="AI213" s="425">
        <f>SUM(AI199:AI211)</f>
        <v>539082.72</v>
      </c>
      <c r="AJ213" s="426">
        <f>SUM(AI213+AC213+W213+Q213)</f>
        <v>1486887.39</v>
      </c>
    </row>
    <row r="214" spans="1:36">
      <c r="A214" s="66"/>
      <c r="B214" s="149"/>
      <c r="C214" s="148"/>
      <c r="D214" s="233"/>
      <c r="E214" s="234"/>
      <c r="F214" s="235"/>
      <c r="G214" s="148"/>
      <c r="H214" s="235"/>
      <c r="I214" s="235"/>
      <c r="J214" s="151"/>
      <c r="K214" s="148"/>
      <c r="L214" s="148"/>
      <c r="M214" s="148"/>
      <c r="N214" s="148"/>
      <c r="O214" s="148"/>
      <c r="P214" s="148"/>
      <c r="Q214" s="155"/>
      <c r="R214" s="240"/>
      <c r="S214" s="148"/>
      <c r="T214" s="148"/>
      <c r="U214" s="148"/>
      <c r="V214" s="148"/>
      <c r="W214" s="155"/>
      <c r="X214" s="240"/>
      <c r="Y214" s="148"/>
      <c r="Z214" s="148"/>
      <c r="AA214" s="148"/>
      <c r="AB214" s="148"/>
      <c r="AC214" s="148"/>
      <c r="AD214" s="148"/>
      <c r="AE214" s="148"/>
      <c r="AF214" s="148"/>
      <c r="AG214" s="148"/>
      <c r="AH214" s="148"/>
      <c r="AI214" s="342"/>
      <c r="AJ214" s="330"/>
    </row>
    <row r="215" spans="1:36">
      <c r="A215" s="66"/>
      <c r="B215" s="149"/>
      <c r="C215" s="148"/>
      <c r="D215" s="233"/>
      <c r="E215" s="234"/>
      <c r="F215" s="235"/>
      <c r="G215" s="148"/>
      <c r="H215" s="235"/>
      <c r="I215" s="235"/>
      <c r="J215" s="151"/>
      <c r="K215" s="148"/>
      <c r="L215" s="148"/>
      <c r="M215" s="148"/>
      <c r="N215" s="148"/>
      <c r="O215" s="148"/>
      <c r="P215" s="148"/>
      <c r="Q215" s="155"/>
      <c r="R215" s="240"/>
      <c r="S215" s="148"/>
      <c r="T215" s="148"/>
      <c r="U215" s="148"/>
      <c r="V215" s="148"/>
      <c r="W215" s="155"/>
      <c r="X215" s="240"/>
      <c r="Y215" s="148"/>
      <c r="Z215" s="148"/>
      <c r="AA215" s="148"/>
      <c r="AB215" s="148"/>
      <c r="AC215" s="148"/>
      <c r="AD215" s="148"/>
      <c r="AE215" s="148"/>
      <c r="AF215" s="148"/>
      <c r="AG215" s="148"/>
      <c r="AH215" s="148"/>
      <c r="AI215" s="342"/>
      <c r="AJ215" s="330"/>
    </row>
    <row r="216" spans="1:36">
      <c r="A216" s="4"/>
      <c r="B216" s="149"/>
      <c r="C216" s="148"/>
      <c r="D216" s="149"/>
      <c r="E216" s="148"/>
      <c r="F216" s="148"/>
      <c r="G216" s="148"/>
      <c r="H216" s="148"/>
      <c r="I216" s="149"/>
      <c r="J216" s="151"/>
      <c r="K216" s="148"/>
      <c r="L216" s="239"/>
      <c r="M216" s="148"/>
      <c r="N216" s="148"/>
      <c r="O216" s="148"/>
      <c r="P216" s="148"/>
      <c r="Q216" s="155"/>
      <c r="R216" s="148"/>
      <c r="S216" s="148"/>
      <c r="T216" s="148"/>
      <c r="U216" s="148"/>
      <c r="V216" s="148"/>
      <c r="W216" s="155"/>
      <c r="X216" s="148"/>
      <c r="Y216" s="148"/>
      <c r="Z216" s="148"/>
      <c r="AA216" s="148"/>
      <c r="AB216" s="148"/>
      <c r="AC216" s="148"/>
      <c r="AD216" s="148"/>
      <c r="AE216" s="148"/>
      <c r="AF216" s="148"/>
      <c r="AG216" s="148"/>
      <c r="AH216" s="148"/>
      <c r="AI216" s="342"/>
      <c r="AJ216" s="330"/>
    </row>
    <row r="217" spans="1:36">
      <c r="A217" s="1095" t="s">
        <v>480</v>
      </c>
      <c r="B217" s="1096"/>
      <c r="C217" s="1096"/>
      <c r="D217" s="1096"/>
      <c r="E217" s="1096"/>
      <c r="F217" s="1096"/>
      <c r="G217" s="1096"/>
      <c r="H217" s="1096"/>
      <c r="I217" s="1096"/>
      <c r="J217" s="1097"/>
      <c r="K217" s="148"/>
      <c r="L217" s="148"/>
      <c r="M217" s="148"/>
      <c r="N217" s="148"/>
      <c r="O217" s="148"/>
      <c r="P217" s="148"/>
      <c r="Q217" s="155"/>
      <c r="R217" s="148"/>
      <c r="S217" s="148"/>
      <c r="T217" s="148"/>
      <c r="U217" s="148"/>
      <c r="V217" s="148"/>
      <c r="W217" s="155"/>
      <c r="X217" s="148"/>
      <c r="Y217" s="148"/>
      <c r="Z217" s="148"/>
      <c r="AA217" s="148"/>
      <c r="AB217" s="148"/>
      <c r="AC217" s="148"/>
      <c r="AD217" s="148"/>
      <c r="AE217" s="148"/>
      <c r="AF217" s="148"/>
      <c r="AG217" s="148"/>
      <c r="AH217" s="148"/>
      <c r="AI217" s="343"/>
      <c r="AJ217" s="332"/>
    </row>
    <row r="218" spans="1:36">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row>
    <row r="219" spans="1:36">
      <c r="A219" s="1084"/>
      <c r="B219" s="192"/>
      <c r="C219" s="192"/>
      <c r="D219" s="1084" t="s">
        <v>0</v>
      </c>
      <c r="E219" s="1084" t="s">
        <v>210</v>
      </c>
      <c r="F219" s="1098" t="s">
        <v>5</v>
      </c>
      <c r="G219" s="1099"/>
      <c r="H219" s="1084" t="s">
        <v>22</v>
      </c>
      <c r="I219" s="1084" t="s">
        <v>211</v>
      </c>
      <c r="J219" s="1084" t="s">
        <v>212</v>
      </c>
      <c r="K219" s="1084" t="s">
        <v>213</v>
      </c>
      <c r="L219" s="1087" t="s">
        <v>214</v>
      </c>
      <c r="M219" s="1088"/>
      <c r="N219" s="1088"/>
      <c r="O219" s="1088"/>
      <c r="P219" s="1088"/>
      <c r="Q219" s="1088"/>
      <c r="R219" s="1088"/>
      <c r="S219" s="1088"/>
      <c r="T219" s="1088"/>
      <c r="U219" s="1088"/>
      <c r="V219" s="1088"/>
      <c r="W219" s="1088"/>
      <c r="X219" s="1088"/>
      <c r="Y219" s="1088"/>
      <c r="Z219" s="1088"/>
      <c r="AA219" s="1088"/>
      <c r="AB219" s="1088"/>
      <c r="AC219" s="1088"/>
      <c r="AD219" s="1088"/>
      <c r="AE219" s="1088"/>
      <c r="AF219" s="1088"/>
      <c r="AG219" s="1088"/>
      <c r="AH219" s="1088"/>
    </row>
    <row r="220" spans="1:36" ht="38.25">
      <c r="A220" s="1085"/>
      <c r="B220" s="193" t="s">
        <v>215</v>
      </c>
      <c r="C220" s="193" t="s">
        <v>216</v>
      </c>
      <c r="D220" s="1085"/>
      <c r="E220" s="1085"/>
      <c r="F220" s="1089" t="s">
        <v>217</v>
      </c>
      <c r="G220" s="1089" t="s">
        <v>6</v>
      </c>
      <c r="H220" s="1085"/>
      <c r="I220" s="1085"/>
      <c r="J220" s="1085"/>
      <c r="K220" s="1085"/>
      <c r="L220" s="1091" t="s">
        <v>12</v>
      </c>
      <c r="M220" s="1092"/>
      <c r="N220" s="1092"/>
      <c r="O220" s="1092"/>
      <c r="P220" s="1092"/>
      <c r="Q220" s="1093"/>
      <c r="R220" s="1091" t="s">
        <v>13</v>
      </c>
      <c r="S220" s="1092"/>
      <c r="T220" s="1092"/>
      <c r="U220" s="1092"/>
      <c r="V220" s="1092"/>
      <c r="W220" s="1093"/>
      <c r="X220" s="1091" t="s">
        <v>14</v>
      </c>
      <c r="Y220" s="1092"/>
      <c r="Z220" s="1092"/>
      <c r="AA220" s="1092"/>
      <c r="AB220" s="1092"/>
      <c r="AC220" s="1093"/>
      <c r="AD220" s="1091" t="s">
        <v>15</v>
      </c>
      <c r="AE220" s="1092"/>
      <c r="AF220" s="1092"/>
      <c r="AG220" s="1092"/>
      <c r="AH220" s="1092"/>
      <c r="AI220" s="335"/>
      <c r="AJ220" s="336"/>
    </row>
    <row r="221" spans="1:36" ht="30">
      <c r="A221" s="1086"/>
      <c r="B221" s="194"/>
      <c r="C221" s="194"/>
      <c r="D221" s="1086"/>
      <c r="E221" s="1086"/>
      <c r="F221" s="1090"/>
      <c r="G221" s="1090"/>
      <c r="H221" s="1086"/>
      <c r="I221" s="1086"/>
      <c r="J221" s="1086"/>
      <c r="K221" s="1086"/>
      <c r="L221" s="96" t="s">
        <v>1</v>
      </c>
      <c r="M221" s="96" t="s">
        <v>9</v>
      </c>
      <c r="N221" s="96" t="s">
        <v>218</v>
      </c>
      <c r="O221" s="96" t="s">
        <v>17</v>
      </c>
      <c r="P221" s="96" t="s">
        <v>19</v>
      </c>
      <c r="Q221" s="96" t="s">
        <v>4</v>
      </c>
      <c r="R221" s="96" t="s">
        <v>1</v>
      </c>
      <c r="S221" s="96" t="s">
        <v>2</v>
      </c>
      <c r="T221" s="96" t="s">
        <v>219</v>
      </c>
      <c r="U221" s="96" t="s">
        <v>17</v>
      </c>
      <c r="V221" s="96" t="s">
        <v>19</v>
      </c>
      <c r="W221" s="96" t="s">
        <v>4</v>
      </c>
      <c r="X221" s="96" t="s">
        <v>1</v>
      </c>
      <c r="Y221" s="96" t="s">
        <v>9</v>
      </c>
      <c r="Z221" s="96" t="s">
        <v>218</v>
      </c>
      <c r="AA221" s="96" t="s">
        <v>17</v>
      </c>
      <c r="AB221" s="96" t="s">
        <v>19</v>
      </c>
      <c r="AC221" s="96" t="s">
        <v>4</v>
      </c>
      <c r="AD221" s="96" t="s">
        <v>1</v>
      </c>
      <c r="AE221" s="96" t="s">
        <v>9</v>
      </c>
      <c r="AF221" s="96" t="s">
        <v>219</v>
      </c>
      <c r="AG221" s="96" t="s">
        <v>17</v>
      </c>
      <c r="AH221" s="266" t="s">
        <v>19</v>
      </c>
      <c r="AI221" s="349" t="s">
        <v>688</v>
      </c>
      <c r="AJ221" s="350" t="s">
        <v>691</v>
      </c>
    </row>
    <row r="222" spans="1:36">
      <c r="A222" s="194"/>
      <c r="B222" s="194" t="s">
        <v>33</v>
      </c>
      <c r="C222" s="194" t="s">
        <v>34</v>
      </c>
      <c r="D222" s="194" t="s">
        <v>45</v>
      </c>
      <c r="E222" s="195" t="s">
        <v>220</v>
      </c>
      <c r="F222" s="194" t="s">
        <v>36</v>
      </c>
      <c r="G222" s="194" t="s">
        <v>37</v>
      </c>
      <c r="H222" s="194" t="s">
        <v>38</v>
      </c>
      <c r="I222" s="194" t="s">
        <v>39</v>
      </c>
      <c r="J222" s="96" t="s">
        <v>40</v>
      </c>
      <c r="K222" s="96" t="s">
        <v>41</v>
      </c>
      <c r="L222" s="96" t="s">
        <v>221</v>
      </c>
      <c r="M222" s="96" t="s">
        <v>222</v>
      </c>
      <c r="N222" s="96" t="s">
        <v>223</v>
      </c>
      <c r="O222" s="96" t="s">
        <v>224</v>
      </c>
      <c r="P222" s="96" t="s">
        <v>225</v>
      </c>
      <c r="Q222" s="96" t="s">
        <v>226</v>
      </c>
      <c r="R222" s="96" t="s">
        <v>227</v>
      </c>
      <c r="S222" s="96" t="s">
        <v>228</v>
      </c>
      <c r="T222" s="96" t="s">
        <v>229</v>
      </c>
      <c r="U222" s="96" t="s">
        <v>230</v>
      </c>
      <c r="V222" s="96" t="s">
        <v>231</v>
      </c>
      <c r="W222" s="96" t="s">
        <v>232</v>
      </c>
      <c r="X222" s="96" t="s">
        <v>233</v>
      </c>
      <c r="Y222" s="96" t="s">
        <v>234</v>
      </c>
      <c r="Z222" s="96" t="s">
        <v>235</v>
      </c>
      <c r="AA222" s="96" t="s">
        <v>236</v>
      </c>
      <c r="AB222" s="96" t="s">
        <v>237</v>
      </c>
      <c r="AC222" s="96" t="s">
        <v>238</v>
      </c>
      <c r="AD222" s="96" t="s">
        <v>239</v>
      </c>
      <c r="AE222" s="96" t="s">
        <v>240</v>
      </c>
      <c r="AF222" s="96" t="s">
        <v>241</v>
      </c>
      <c r="AG222" s="96" t="s">
        <v>242</v>
      </c>
      <c r="AH222" s="266" t="s">
        <v>243</v>
      </c>
      <c r="AI222" s="346"/>
      <c r="AJ222" s="332"/>
    </row>
    <row r="223" spans="1:36">
      <c r="A223" s="1075"/>
      <c r="B223" s="1076"/>
      <c r="C223" s="1076"/>
      <c r="D223" s="1077"/>
      <c r="E223" s="148"/>
      <c r="F223" s="148"/>
      <c r="G223" s="149"/>
      <c r="H223" s="232"/>
      <c r="I223" s="149"/>
      <c r="J223" s="151"/>
      <c r="K223" s="148"/>
      <c r="L223" s="148"/>
      <c r="M223" s="148"/>
      <c r="N223" s="148"/>
      <c r="O223" s="148"/>
      <c r="P223" s="148"/>
      <c r="Q223" s="155">
        <f t="shared" ref="Q223:Q254" si="17">SUM(L223:P223)</f>
        <v>0</v>
      </c>
      <c r="R223" s="148"/>
      <c r="S223" s="148"/>
      <c r="T223" s="148"/>
      <c r="U223" s="148"/>
      <c r="V223" s="148"/>
      <c r="W223" s="155">
        <f t="shared" ref="W223:W254" si="18">SUM(R223:V223)</f>
        <v>0</v>
      </c>
      <c r="X223" s="148"/>
      <c r="Y223" s="148"/>
      <c r="Z223" s="148"/>
      <c r="AA223" s="148"/>
      <c r="AB223" s="148"/>
      <c r="AC223" s="148"/>
      <c r="AD223" s="148"/>
      <c r="AE223" s="148"/>
      <c r="AF223" s="148"/>
      <c r="AG223" s="148"/>
      <c r="AH223" s="151"/>
      <c r="AI223" s="342"/>
      <c r="AJ223" s="330"/>
    </row>
    <row r="224" spans="1:36">
      <c r="A224" s="1075" t="s">
        <v>287</v>
      </c>
      <c r="B224" s="1076"/>
      <c r="C224" s="1076"/>
      <c r="D224" s="1076"/>
      <c r="E224" s="1076"/>
      <c r="F224" s="1076"/>
      <c r="G224" s="1076"/>
      <c r="H224" s="1076"/>
      <c r="I224" s="1076"/>
      <c r="J224" s="1077"/>
      <c r="K224" s="148"/>
      <c r="L224" s="231"/>
      <c r="M224" s="231"/>
      <c r="N224" s="231"/>
      <c r="O224" s="231"/>
      <c r="P224" s="231"/>
      <c r="Q224" s="242">
        <f t="shared" si="17"/>
        <v>0</v>
      </c>
      <c r="R224" s="231"/>
      <c r="S224" s="231"/>
      <c r="T224" s="231"/>
      <c r="U224" s="231"/>
      <c r="V224" s="231"/>
      <c r="W224" s="242">
        <f t="shared" si="18"/>
        <v>0</v>
      </c>
      <c r="X224" s="231"/>
      <c r="Y224" s="231"/>
      <c r="Z224" s="231"/>
      <c r="AA224" s="231"/>
      <c r="AB224" s="231"/>
      <c r="AC224" s="231"/>
      <c r="AD224" s="231"/>
      <c r="AE224" s="231"/>
      <c r="AF224" s="231"/>
      <c r="AG224" s="231"/>
      <c r="AH224" s="250"/>
      <c r="AI224" s="342"/>
      <c r="AJ224" s="330"/>
    </row>
    <row r="225" spans="1:36">
      <c r="A225" s="4" t="s">
        <v>484</v>
      </c>
      <c r="B225" s="186"/>
      <c r="C225" s="186"/>
      <c r="D225" s="186"/>
      <c r="E225" s="243"/>
      <c r="F225" s="243"/>
      <c r="G225" s="244"/>
      <c r="H225" s="245"/>
      <c r="I225" s="244"/>
      <c r="J225" s="243"/>
      <c r="K225" s="148"/>
      <c r="L225" s="231"/>
      <c r="M225" s="231"/>
      <c r="N225" s="231"/>
      <c r="O225" s="231"/>
      <c r="P225" s="231"/>
      <c r="Q225" s="242">
        <f t="shared" si="17"/>
        <v>0</v>
      </c>
      <c r="R225" s="231"/>
      <c r="S225" s="231"/>
      <c r="T225" s="231"/>
      <c r="U225" s="231"/>
      <c r="V225" s="231"/>
      <c r="W225" s="242">
        <f t="shared" si="18"/>
        <v>0</v>
      </c>
      <c r="X225" s="231"/>
      <c r="Y225" s="231"/>
      <c r="Z225" s="231"/>
      <c r="AA225" s="231"/>
      <c r="AB225" s="231"/>
      <c r="AC225" s="231"/>
      <c r="AD225" s="231"/>
      <c r="AE225" s="231"/>
      <c r="AF225" s="231"/>
      <c r="AG225" s="231"/>
      <c r="AH225" s="250"/>
      <c r="AI225" s="342"/>
      <c r="AJ225" s="330"/>
    </row>
    <row r="226" spans="1:36">
      <c r="A226" s="6" t="s">
        <v>485</v>
      </c>
      <c r="B226" s="186"/>
      <c r="C226" s="186"/>
      <c r="D226" s="186"/>
      <c r="E226" s="243"/>
      <c r="F226" s="243"/>
      <c r="G226" s="244"/>
      <c r="H226" s="245"/>
      <c r="I226" s="244"/>
      <c r="J226" s="243"/>
      <c r="K226" s="148"/>
      <c r="L226" s="231"/>
      <c r="M226" s="231"/>
      <c r="N226" s="231"/>
      <c r="O226" s="231"/>
      <c r="P226" s="231"/>
      <c r="Q226" s="242">
        <f t="shared" si="17"/>
        <v>0</v>
      </c>
      <c r="R226" s="231"/>
      <c r="S226" s="231"/>
      <c r="T226" s="231"/>
      <c r="U226" s="231"/>
      <c r="V226" s="231"/>
      <c r="W226" s="242">
        <f t="shared" si="18"/>
        <v>0</v>
      </c>
      <c r="X226" s="231"/>
      <c r="Y226" s="231"/>
      <c r="Z226" s="231"/>
      <c r="AA226" s="231"/>
      <c r="AB226" s="231"/>
      <c r="AC226" s="231"/>
      <c r="AD226" s="231"/>
      <c r="AE226" s="231"/>
      <c r="AF226" s="231"/>
      <c r="AG226" s="231"/>
      <c r="AH226" s="250"/>
      <c r="AI226" s="342"/>
      <c r="AJ226" s="330"/>
    </row>
    <row r="227" spans="1:36">
      <c r="A227" s="6" t="s">
        <v>486</v>
      </c>
      <c r="B227" s="187"/>
      <c r="C227" s="187"/>
      <c r="D227" s="187"/>
      <c r="E227" s="148"/>
      <c r="F227" s="148"/>
      <c r="G227" s="149"/>
      <c r="H227" s="232"/>
      <c r="I227" s="149"/>
      <c r="J227" s="148"/>
      <c r="K227" s="148"/>
      <c r="L227" s="231"/>
      <c r="M227" s="231"/>
      <c r="N227" s="231"/>
      <c r="O227" s="231"/>
      <c r="P227" s="231"/>
      <c r="Q227" s="242">
        <f t="shared" si="17"/>
        <v>0</v>
      </c>
      <c r="R227" s="231"/>
      <c r="S227" s="231"/>
      <c r="T227" s="231"/>
      <c r="U227" s="231"/>
      <c r="V227" s="231"/>
      <c r="W227" s="242">
        <f t="shared" si="18"/>
        <v>0</v>
      </c>
      <c r="X227" s="231"/>
      <c r="Y227" s="231"/>
      <c r="Z227" s="231"/>
      <c r="AA227" s="231"/>
      <c r="AB227" s="231"/>
      <c r="AC227" s="231"/>
      <c r="AD227" s="231"/>
      <c r="AE227" s="231"/>
      <c r="AF227" s="231"/>
      <c r="AG227" s="231"/>
      <c r="AH227" s="250"/>
      <c r="AI227" s="342"/>
      <c r="AJ227" s="330"/>
    </row>
    <row r="228" spans="1:36" ht="51">
      <c r="A228" s="172" t="s">
        <v>487</v>
      </c>
      <c r="B228" s="246"/>
      <c r="C228" s="246"/>
      <c r="D228" s="246"/>
      <c r="E228" s="246"/>
      <c r="F228" s="246"/>
      <c r="G228" s="246"/>
      <c r="H228" s="246"/>
      <c r="I228" s="246"/>
      <c r="J228" s="246"/>
      <c r="K228" s="148"/>
      <c r="L228" s="231"/>
      <c r="M228" s="231"/>
      <c r="N228" s="231"/>
      <c r="O228" s="231"/>
      <c r="P228" s="231"/>
      <c r="Q228" s="242">
        <f t="shared" si="17"/>
        <v>0</v>
      </c>
      <c r="R228" s="231"/>
      <c r="S228" s="231"/>
      <c r="T228" s="231"/>
      <c r="U228" s="231"/>
      <c r="V228" s="231"/>
      <c r="W228" s="242">
        <f t="shared" si="18"/>
        <v>0</v>
      </c>
      <c r="X228" s="231"/>
      <c r="Y228" s="231"/>
      <c r="Z228" s="231"/>
      <c r="AA228" s="231"/>
      <c r="AB228" s="231"/>
      <c r="AC228" s="231"/>
      <c r="AD228" s="231"/>
      <c r="AE228" s="231"/>
      <c r="AF228" s="231"/>
      <c r="AG228" s="231"/>
      <c r="AH228" s="250"/>
      <c r="AI228" s="342"/>
      <c r="AJ228" s="330"/>
    </row>
    <row r="229" spans="1:36">
      <c r="A229" s="6" t="s">
        <v>488</v>
      </c>
      <c r="B229" s="6"/>
      <c r="C229" s="6"/>
      <c r="D229" s="6"/>
      <c r="E229" s="6"/>
      <c r="F229" s="6"/>
      <c r="G229" s="6"/>
      <c r="H229" s="6"/>
      <c r="I229" s="6"/>
      <c r="J229" s="6"/>
      <c r="K229" s="6"/>
      <c r="L229" s="92"/>
      <c r="M229" s="92"/>
      <c r="N229" s="92"/>
      <c r="O229" s="92"/>
      <c r="P229" s="92"/>
      <c r="Q229" s="242">
        <f t="shared" si="17"/>
        <v>0</v>
      </c>
      <c r="R229" s="92"/>
      <c r="S229" s="92"/>
      <c r="T229" s="92"/>
      <c r="U229" s="92"/>
      <c r="V229" s="92"/>
      <c r="W229" s="242">
        <f t="shared" si="18"/>
        <v>0</v>
      </c>
      <c r="X229" s="92"/>
      <c r="Y229" s="92"/>
      <c r="Z229" s="92"/>
      <c r="AA229" s="92"/>
      <c r="AB229" s="92"/>
      <c r="AC229" s="231"/>
      <c r="AD229" s="92"/>
      <c r="AE229" s="92"/>
      <c r="AF229" s="92"/>
      <c r="AG229" s="92"/>
      <c r="AH229" s="338"/>
      <c r="AI229" s="342"/>
      <c r="AJ229" s="330"/>
    </row>
    <row r="230" spans="1:36" ht="38.25">
      <c r="A230" s="247" t="s">
        <v>489</v>
      </c>
      <c r="B230" s="149"/>
      <c r="C230" s="148"/>
      <c r="D230" s="149"/>
      <c r="E230" s="148"/>
      <c r="F230" s="148"/>
      <c r="G230" s="148"/>
      <c r="H230" s="148"/>
      <c r="I230" s="149"/>
      <c r="J230" s="151"/>
      <c r="K230" s="148"/>
      <c r="L230" s="231"/>
      <c r="M230" s="231"/>
      <c r="N230" s="231"/>
      <c r="O230" s="231"/>
      <c r="P230" s="231"/>
      <c r="Q230" s="242">
        <f t="shared" si="17"/>
        <v>0</v>
      </c>
      <c r="R230" s="248"/>
      <c r="S230" s="231"/>
      <c r="T230" s="231"/>
      <c r="U230" s="231"/>
      <c r="V230" s="231"/>
      <c r="W230" s="242">
        <f t="shared" si="18"/>
        <v>0</v>
      </c>
      <c r="X230" s="231"/>
      <c r="Y230" s="231"/>
      <c r="Z230" s="231"/>
      <c r="AA230" s="231"/>
      <c r="AB230" s="231"/>
      <c r="AC230" s="231"/>
      <c r="AD230" s="231"/>
      <c r="AE230" s="231"/>
      <c r="AF230" s="231"/>
      <c r="AG230" s="231"/>
      <c r="AH230" s="250"/>
      <c r="AI230" s="342"/>
      <c r="AJ230" s="330"/>
    </row>
    <row r="231" spans="1:36" ht="370.5">
      <c r="A231" s="4" t="s">
        <v>490</v>
      </c>
      <c r="B231" s="149"/>
      <c r="C231" s="151"/>
      <c r="D231" s="149" t="s">
        <v>491</v>
      </c>
      <c r="E231" s="249" t="s">
        <v>492</v>
      </c>
      <c r="F231" s="188" t="s">
        <v>80</v>
      </c>
      <c r="G231" s="148"/>
      <c r="H231" s="141">
        <v>7</v>
      </c>
      <c r="I231" s="149"/>
      <c r="J231" s="151"/>
      <c r="K231" s="148"/>
      <c r="L231" s="374">
        <v>4995</v>
      </c>
      <c r="M231" s="231"/>
      <c r="N231" s="231"/>
      <c r="O231" s="231"/>
      <c r="P231" s="231"/>
      <c r="Q231" s="242">
        <f t="shared" si="17"/>
        <v>4995</v>
      </c>
      <c r="R231" s="231">
        <v>0</v>
      </c>
      <c r="S231" s="231"/>
      <c r="T231" s="231"/>
      <c r="U231" s="231"/>
      <c r="V231" s="231"/>
      <c r="W231" s="242">
        <f t="shared" si="18"/>
        <v>0</v>
      </c>
      <c r="X231" s="231">
        <v>0</v>
      </c>
      <c r="Y231" s="231"/>
      <c r="Z231" s="231"/>
      <c r="AA231" s="231"/>
      <c r="AB231" s="231"/>
      <c r="AC231" s="231">
        <f t="shared" ref="AC231:AC264" si="19">SUM(X231:AB231)</f>
        <v>0</v>
      </c>
      <c r="AD231" s="231">
        <v>0</v>
      </c>
      <c r="AE231" s="231"/>
      <c r="AF231" s="231"/>
      <c r="AG231" s="231"/>
      <c r="AH231" s="250"/>
      <c r="AI231" s="342"/>
      <c r="AJ231" s="330"/>
    </row>
    <row r="232" spans="1:36" ht="38.25">
      <c r="A232" s="4" t="s">
        <v>493</v>
      </c>
      <c r="B232" s="149"/>
      <c r="C232" s="148"/>
      <c r="D232" s="149" t="s">
        <v>491</v>
      </c>
      <c r="E232" s="148"/>
      <c r="F232" s="148"/>
      <c r="G232" s="148"/>
      <c r="H232" s="141">
        <v>7</v>
      </c>
      <c r="I232" s="149"/>
      <c r="J232" s="151"/>
      <c r="K232" s="148"/>
      <c r="L232" s="231">
        <v>0</v>
      </c>
      <c r="M232" s="231"/>
      <c r="N232" s="231"/>
      <c r="O232" s="231"/>
      <c r="P232" s="231"/>
      <c r="Q232" s="242">
        <f t="shared" si="17"/>
        <v>0</v>
      </c>
      <c r="R232" s="231">
        <v>0</v>
      </c>
      <c r="S232" s="231"/>
      <c r="T232" s="231"/>
      <c r="U232" s="231"/>
      <c r="V232" s="231"/>
      <c r="W232" s="242">
        <f t="shared" si="18"/>
        <v>0</v>
      </c>
      <c r="X232" s="231">
        <v>0</v>
      </c>
      <c r="Y232" s="231"/>
      <c r="Z232" s="231"/>
      <c r="AA232" s="231"/>
      <c r="AB232" s="231"/>
      <c r="AC232" s="231">
        <f t="shared" si="19"/>
        <v>0</v>
      </c>
      <c r="AD232" s="231">
        <v>0</v>
      </c>
      <c r="AE232" s="231"/>
      <c r="AF232" s="231"/>
      <c r="AG232" s="231"/>
      <c r="AH232" s="250"/>
      <c r="AI232" s="342"/>
      <c r="AJ232" s="330"/>
    </row>
    <row r="233" spans="1:36" ht="318.75">
      <c r="A233" s="4" t="s">
        <v>494</v>
      </c>
      <c r="B233" s="149"/>
      <c r="C233" s="148"/>
      <c r="D233" s="149" t="s">
        <v>491</v>
      </c>
      <c r="E233" s="4" t="s">
        <v>495</v>
      </c>
      <c r="F233" s="188" t="s">
        <v>80</v>
      </c>
      <c r="G233" s="148"/>
      <c r="H233" s="148"/>
      <c r="I233" s="149"/>
      <c r="J233" s="151"/>
      <c r="K233" s="148"/>
      <c r="L233" s="375">
        <v>4371</v>
      </c>
      <c r="M233" s="251"/>
      <c r="N233" s="251"/>
      <c r="O233" s="251"/>
      <c r="P233" s="251"/>
      <c r="Q233" s="242">
        <f t="shared" si="17"/>
        <v>4371</v>
      </c>
      <c r="R233" s="231">
        <v>0</v>
      </c>
      <c r="S233" s="231"/>
      <c r="T233" s="231"/>
      <c r="U233" s="231"/>
      <c r="V233" s="231"/>
      <c r="W233" s="242">
        <f t="shared" si="18"/>
        <v>0</v>
      </c>
      <c r="X233" s="231">
        <v>0</v>
      </c>
      <c r="Y233" s="231"/>
      <c r="Z233" s="231"/>
      <c r="AA233" s="231"/>
      <c r="AB233" s="231"/>
      <c r="AC233" s="231">
        <f t="shared" si="19"/>
        <v>0</v>
      </c>
      <c r="AD233" s="231">
        <v>0</v>
      </c>
      <c r="AE233" s="231"/>
      <c r="AF233" s="231"/>
      <c r="AG233" s="231"/>
      <c r="AH233" s="250"/>
      <c r="AI233" s="342"/>
      <c r="AJ233" s="330"/>
    </row>
    <row r="234" spans="1:36" ht="178.5">
      <c r="A234" s="4" t="s">
        <v>496</v>
      </c>
      <c r="B234" s="149"/>
      <c r="C234" s="148"/>
      <c r="D234" s="149"/>
      <c r="E234" s="4" t="s">
        <v>497</v>
      </c>
      <c r="F234" s="188" t="s">
        <v>80</v>
      </c>
      <c r="G234" s="148"/>
      <c r="H234" s="141">
        <v>7</v>
      </c>
      <c r="I234" s="149"/>
      <c r="J234" s="151"/>
      <c r="K234" s="148"/>
      <c r="L234" s="251">
        <v>0</v>
      </c>
      <c r="M234" s="251"/>
      <c r="N234" s="251"/>
      <c r="O234" s="251"/>
      <c r="P234" s="251"/>
      <c r="Q234" s="242">
        <f t="shared" si="17"/>
        <v>0</v>
      </c>
      <c r="R234" s="251">
        <v>0</v>
      </c>
      <c r="S234" s="231"/>
      <c r="T234" s="231"/>
      <c r="U234" s="231"/>
      <c r="V234" s="231"/>
      <c r="W234" s="242">
        <f t="shared" si="18"/>
        <v>0</v>
      </c>
      <c r="X234" s="248">
        <v>0</v>
      </c>
      <c r="Y234" s="251"/>
      <c r="Z234" s="251"/>
      <c r="AA234" s="251"/>
      <c r="AB234" s="251"/>
      <c r="AC234" s="231">
        <f t="shared" si="19"/>
        <v>0</v>
      </c>
      <c r="AD234" s="248">
        <v>0</v>
      </c>
      <c r="AE234" s="231"/>
      <c r="AF234" s="231"/>
      <c r="AG234" s="231"/>
      <c r="AH234" s="250"/>
      <c r="AI234" s="342"/>
      <c r="AJ234" s="330"/>
    </row>
    <row r="235" spans="1:36" ht="409.5">
      <c r="A235" s="4" t="s">
        <v>570</v>
      </c>
      <c r="B235" s="149"/>
      <c r="C235" s="148"/>
      <c r="D235" s="149"/>
      <c r="E235" s="4" t="s">
        <v>498</v>
      </c>
      <c r="F235" s="148"/>
      <c r="G235" s="148"/>
      <c r="H235" s="148"/>
      <c r="I235" s="149"/>
      <c r="J235" s="151"/>
      <c r="K235" s="148"/>
      <c r="L235" s="252"/>
      <c r="M235" s="251"/>
      <c r="N235" s="251"/>
      <c r="O235" s="251"/>
      <c r="P235" s="251"/>
      <c r="Q235" s="242">
        <f t="shared" si="17"/>
        <v>0</v>
      </c>
      <c r="R235" s="253"/>
      <c r="S235" s="252"/>
      <c r="T235" s="252"/>
      <c r="U235" s="254"/>
      <c r="V235" s="252"/>
      <c r="W235" s="242">
        <f>SUM(S235:V235)</f>
        <v>0</v>
      </c>
      <c r="X235" s="254"/>
      <c r="Y235" s="252"/>
      <c r="Z235" s="252"/>
      <c r="AA235" s="252"/>
      <c r="AB235" s="252"/>
      <c r="AC235" s="231">
        <f>SUM(X235:AB235)</f>
        <v>0</v>
      </c>
      <c r="AD235" s="255">
        <v>0</v>
      </c>
      <c r="AE235" s="252"/>
      <c r="AF235" s="252"/>
      <c r="AG235" s="252"/>
      <c r="AH235" s="339"/>
      <c r="AI235" s="342"/>
      <c r="AJ235" s="330"/>
    </row>
    <row r="236" spans="1:36">
      <c r="A236" s="4" t="s">
        <v>499</v>
      </c>
      <c r="B236" s="149"/>
      <c r="C236" s="148"/>
      <c r="D236" s="149"/>
      <c r="E236" s="148"/>
      <c r="F236" s="148"/>
      <c r="G236" s="148"/>
      <c r="H236" s="148"/>
      <c r="I236" s="149"/>
      <c r="J236" s="151"/>
      <c r="K236" s="148"/>
      <c r="L236" s="251"/>
      <c r="M236" s="251"/>
      <c r="N236" s="251"/>
      <c r="O236" s="251"/>
      <c r="P236" s="251"/>
      <c r="Q236" s="242">
        <f t="shared" si="17"/>
        <v>0</v>
      </c>
      <c r="R236" s="251"/>
      <c r="S236" s="231"/>
      <c r="T236" s="231"/>
      <c r="U236" s="231"/>
      <c r="V236" s="231"/>
      <c r="W236" s="242">
        <f t="shared" si="18"/>
        <v>0</v>
      </c>
      <c r="X236" s="248"/>
      <c r="Y236" s="251"/>
      <c r="Z236" s="251"/>
      <c r="AA236" s="251"/>
      <c r="AB236" s="251"/>
      <c r="AC236" s="231">
        <f t="shared" si="19"/>
        <v>0</v>
      </c>
      <c r="AD236" s="248"/>
      <c r="AE236" s="231"/>
      <c r="AF236" s="231"/>
      <c r="AG236" s="231"/>
      <c r="AH236" s="250"/>
      <c r="AI236" s="342"/>
      <c r="AJ236" s="330"/>
    </row>
    <row r="237" spans="1:36" ht="25.5">
      <c r="A237" s="247" t="s">
        <v>500</v>
      </c>
      <c r="B237" s="149"/>
      <c r="C237" s="148"/>
      <c r="D237" s="149"/>
      <c r="E237" s="148"/>
      <c r="F237" s="148"/>
      <c r="G237" s="148"/>
      <c r="H237" s="148"/>
      <c r="I237" s="149"/>
      <c r="J237" s="151"/>
      <c r="K237" s="148"/>
      <c r="L237" s="251"/>
      <c r="M237" s="251"/>
      <c r="N237" s="251"/>
      <c r="O237" s="251"/>
      <c r="P237" s="251"/>
      <c r="Q237" s="242">
        <f t="shared" si="17"/>
        <v>0</v>
      </c>
      <c r="R237" s="251"/>
      <c r="S237" s="231"/>
      <c r="T237" s="231"/>
      <c r="U237" s="231"/>
      <c r="V237" s="231"/>
      <c r="W237" s="242">
        <f t="shared" si="18"/>
        <v>0</v>
      </c>
      <c r="X237" s="248"/>
      <c r="Y237" s="251"/>
      <c r="Z237" s="251"/>
      <c r="AA237" s="251"/>
      <c r="AB237" s="251"/>
      <c r="AC237" s="231">
        <f t="shared" si="19"/>
        <v>0</v>
      </c>
      <c r="AD237" s="248"/>
      <c r="AE237" s="231"/>
      <c r="AF237" s="231"/>
      <c r="AG237" s="231"/>
      <c r="AH237" s="250"/>
      <c r="AI237" s="342"/>
      <c r="AJ237" s="330"/>
    </row>
    <row r="238" spans="1:36" ht="102">
      <c r="A238" s="4" t="s">
        <v>501</v>
      </c>
      <c r="B238" s="149"/>
      <c r="C238" s="148"/>
      <c r="D238" s="149"/>
      <c r="E238" s="4" t="s">
        <v>502</v>
      </c>
      <c r="F238" s="188" t="s">
        <v>80</v>
      </c>
      <c r="G238" s="148"/>
      <c r="H238" s="141">
        <v>7</v>
      </c>
      <c r="I238" s="149"/>
      <c r="J238" s="151"/>
      <c r="K238" s="148"/>
      <c r="L238" s="251"/>
      <c r="M238" s="251"/>
      <c r="N238" s="252">
        <v>0</v>
      </c>
      <c r="O238" s="251"/>
      <c r="P238" s="251"/>
      <c r="Q238" s="242">
        <f t="shared" si="17"/>
        <v>0</v>
      </c>
      <c r="R238" s="252">
        <v>0</v>
      </c>
      <c r="S238" s="231"/>
      <c r="T238" s="231"/>
      <c r="U238" s="231"/>
      <c r="V238" s="231"/>
      <c r="W238" s="242">
        <f t="shared" si="18"/>
        <v>0</v>
      </c>
      <c r="X238" s="248">
        <v>0</v>
      </c>
      <c r="Y238" s="251"/>
      <c r="Z238" s="251"/>
      <c r="AA238" s="251"/>
      <c r="AB238" s="251"/>
      <c r="AC238" s="231">
        <f t="shared" si="19"/>
        <v>0</v>
      </c>
      <c r="AD238" s="253"/>
      <c r="AE238" s="231"/>
      <c r="AF238" s="231"/>
      <c r="AG238" s="231"/>
      <c r="AH238" s="250"/>
      <c r="AI238" s="342"/>
      <c r="AJ238" s="330"/>
    </row>
    <row r="239" spans="1:36" ht="267.75">
      <c r="A239" s="4" t="s">
        <v>503</v>
      </c>
      <c r="B239" s="149"/>
      <c r="C239" s="148"/>
      <c r="D239" s="149"/>
      <c r="E239" s="4" t="s">
        <v>504</v>
      </c>
      <c r="F239" s="188" t="s">
        <v>80</v>
      </c>
      <c r="G239" s="148"/>
      <c r="H239" s="141">
        <v>7</v>
      </c>
      <c r="I239" s="149"/>
      <c r="J239" s="151"/>
      <c r="K239" s="148"/>
      <c r="L239" s="251"/>
      <c r="M239" s="251"/>
      <c r="N239" s="251"/>
      <c r="O239" s="251"/>
      <c r="P239" s="251"/>
      <c r="Q239" s="242">
        <f t="shared" si="17"/>
        <v>0</v>
      </c>
      <c r="R239" s="251"/>
      <c r="S239" s="231"/>
      <c r="T239" s="231"/>
      <c r="U239" s="231"/>
      <c r="V239" s="231"/>
      <c r="W239" s="242">
        <f t="shared" si="18"/>
        <v>0</v>
      </c>
      <c r="X239" s="248"/>
      <c r="Y239" s="251"/>
      <c r="Z239" s="251"/>
      <c r="AA239" s="251"/>
      <c r="AB239" s="251"/>
      <c r="AC239" s="231">
        <f t="shared" si="19"/>
        <v>0</v>
      </c>
      <c r="AD239" s="248"/>
      <c r="AE239" s="231"/>
      <c r="AF239" s="231"/>
      <c r="AG239" s="231"/>
      <c r="AH239" s="250"/>
      <c r="AI239" s="342"/>
      <c r="AJ239" s="330"/>
    </row>
    <row r="240" spans="1:36" ht="51">
      <c r="A240" s="4" t="s">
        <v>505</v>
      </c>
      <c r="B240" s="149"/>
      <c r="C240" s="148"/>
      <c r="D240" s="149"/>
      <c r="E240" s="148"/>
      <c r="F240" s="188" t="s">
        <v>80</v>
      </c>
      <c r="G240" s="148"/>
      <c r="H240" s="148"/>
      <c r="I240" s="149"/>
      <c r="J240" s="151"/>
      <c r="K240" s="148"/>
      <c r="L240" s="376">
        <v>15000</v>
      </c>
      <c r="M240" s="251"/>
      <c r="N240" s="251"/>
      <c r="O240" s="251"/>
      <c r="P240" s="251"/>
      <c r="Q240" s="242">
        <f t="shared" si="17"/>
        <v>15000</v>
      </c>
      <c r="R240" s="376">
        <v>15000</v>
      </c>
      <c r="S240" s="231"/>
      <c r="T240" s="231"/>
      <c r="U240" s="231"/>
      <c r="V240" s="231"/>
      <c r="W240" s="242">
        <f t="shared" si="18"/>
        <v>15000</v>
      </c>
      <c r="X240" s="382">
        <v>15000</v>
      </c>
      <c r="Y240" s="251"/>
      <c r="Z240" s="251"/>
      <c r="AA240" s="251"/>
      <c r="AB240" s="251"/>
      <c r="AC240" s="231">
        <f t="shared" si="19"/>
        <v>15000</v>
      </c>
      <c r="AD240" s="382">
        <v>15000</v>
      </c>
      <c r="AE240" s="231"/>
      <c r="AF240" s="231"/>
      <c r="AG240" s="231"/>
      <c r="AH240" s="250"/>
      <c r="AI240" s="427">
        <f>SUM(AD240:AH240)</f>
        <v>15000</v>
      </c>
      <c r="AJ240" s="330"/>
    </row>
    <row r="241" spans="1:36" ht="25.5">
      <c r="A241" s="4" t="s">
        <v>506</v>
      </c>
      <c r="B241" s="149"/>
      <c r="C241" s="148"/>
      <c r="D241" s="149"/>
      <c r="E241" s="148"/>
      <c r="F241" s="188"/>
      <c r="G241" s="148"/>
      <c r="H241" s="148"/>
      <c r="I241" s="149"/>
      <c r="J241" s="151"/>
      <c r="K241" s="148"/>
      <c r="L241" s="251"/>
      <c r="M241" s="251"/>
      <c r="N241" s="251"/>
      <c r="O241" s="251"/>
      <c r="P241" s="251"/>
      <c r="Q241" s="242">
        <f t="shared" si="17"/>
        <v>0</v>
      </c>
      <c r="R241" s="251"/>
      <c r="S241" s="231"/>
      <c r="T241" s="231"/>
      <c r="U241" s="231"/>
      <c r="V241" s="231"/>
      <c r="W241" s="242">
        <f t="shared" si="18"/>
        <v>0</v>
      </c>
      <c r="X241" s="248"/>
      <c r="Y241" s="251"/>
      <c r="Z241" s="251"/>
      <c r="AA241" s="251"/>
      <c r="AB241" s="251"/>
      <c r="AC241" s="231">
        <f t="shared" si="19"/>
        <v>0</v>
      </c>
      <c r="AD241" s="248"/>
      <c r="AE241" s="231"/>
      <c r="AF241" s="231"/>
      <c r="AG241" s="231"/>
      <c r="AH241" s="250"/>
      <c r="AI241" s="342"/>
      <c r="AJ241" s="330"/>
    </row>
    <row r="242" spans="1:36" ht="191.25">
      <c r="A242" s="4" t="s">
        <v>507</v>
      </c>
      <c r="B242" s="149"/>
      <c r="C242" s="148"/>
      <c r="D242" s="149"/>
      <c r="E242" s="4" t="s">
        <v>508</v>
      </c>
      <c r="F242" s="188" t="s">
        <v>80</v>
      </c>
      <c r="G242" s="141" t="s">
        <v>509</v>
      </c>
      <c r="H242" s="148"/>
      <c r="I242" s="149"/>
      <c r="J242" s="151"/>
      <c r="K242" s="148"/>
      <c r="L242" s="251"/>
      <c r="M242" s="251"/>
      <c r="N242" s="251"/>
      <c r="O242" s="251"/>
      <c r="P242" s="251"/>
      <c r="Q242" s="242">
        <f t="shared" si="17"/>
        <v>0</v>
      </c>
      <c r="R242" s="251"/>
      <c r="S242" s="231"/>
      <c r="T242" s="231"/>
      <c r="U242" s="231"/>
      <c r="V242" s="231"/>
      <c r="W242" s="242">
        <f t="shared" si="18"/>
        <v>0</v>
      </c>
      <c r="X242" s="248"/>
      <c r="Y242" s="251"/>
      <c r="Z242" s="251"/>
      <c r="AA242" s="251"/>
      <c r="AB242" s="251"/>
      <c r="AC242" s="231">
        <f t="shared" si="19"/>
        <v>0</v>
      </c>
      <c r="AD242" s="248"/>
      <c r="AE242" s="231"/>
      <c r="AF242" s="231"/>
      <c r="AG242" s="231"/>
      <c r="AH242" s="250"/>
      <c r="AI242" s="342"/>
      <c r="AJ242" s="330"/>
    </row>
    <row r="243" spans="1:36" ht="102">
      <c r="A243" s="93" t="s">
        <v>510</v>
      </c>
      <c r="B243" s="149"/>
      <c r="C243" s="148"/>
      <c r="D243" s="149"/>
      <c r="E243" s="4" t="s">
        <v>511</v>
      </c>
      <c r="F243" s="188" t="s">
        <v>80</v>
      </c>
      <c r="G243" s="148"/>
      <c r="H243" s="148"/>
      <c r="I243" s="149"/>
      <c r="J243" s="151"/>
      <c r="K243" s="148"/>
      <c r="L243" s="251"/>
      <c r="M243" s="251"/>
      <c r="N243" s="251"/>
      <c r="O243" s="251"/>
      <c r="P243" s="251"/>
      <c r="Q243" s="242">
        <f t="shared" si="17"/>
        <v>0</v>
      </c>
      <c r="R243" s="251"/>
      <c r="S243" s="231"/>
      <c r="T243" s="231"/>
      <c r="U243" s="231"/>
      <c r="V243" s="231"/>
      <c r="W243" s="242">
        <f t="shared" si="18"/>
        <v>0</v>
      </c>
      <c r="X243" s="248"/>
      <c r="Y243" s="251"/>
      <c r="Z243" s="251"/>
      <c r="AA243" s="251"/>
      <c r="AB243" s="251"/>
      <c r="AC243" s="231">
        <f t="shared" si="19"/>
        <v>0</v>
      </c>
      <c r="AD243" s="248"/>
      <c r="AE243" s="231"/>
      <c r="AF243" s="231"/>
      <c r="AG243" s="231"/>
      <c r="AH243" s="250"/>
      <c r="AI243" s="342"/>
      <c r="AJ243" s="330"/>
    </row>
    <row r="244" spans="1:36" ht="102">
      <c r="A244" s="93" t="s">
        <v>512</v>
      </c>
      <c r="B244" s="149"/>
      <c r="C244" s="148"/>
      <c r="D244" s="149"/>
      <c r="E244" s="4" t="s">
        <v>513</v>
      </c>
      <c r="F244" s="188" t="s">
        <v>514</v>
      </c>
      <c r="G244" s="148"/>
      <c r="H244" s="148"/>
      <c r="I244" s="149"/>
      <c r="J244" s="151"/>
      <c r="K244" s="148"/>
      <c r="L244" s="251"/>
      <c r="M244" s="251"/>
      <c r="N244" s="251"/>
      <c r="O244" s="251"/>
      <c r="P244" s="251"/>
      <c r="Q244" s="242">
        <f t="shared" si="17"/>
        <v>0</v>
      </c>
      <c r="R244" s="251"/>
      <c r="S244" s="231"/>
      <c r="T244" s="231"/>
      <c r="U244" s="231"/>
      <c r="V244" s="231"/>
      <c r="W244" s="242">
        <f t="shared" si="18"/>
        <v>0</v>
      </c>
      <c r="X244" s="248"/>
      <c r="Y244" s="251"/>
      <c r="Z244" s="251"/>
      <c r="AA244" s="251"/>
      <c r="AB244" s="251"/>
      <c r="AC244" s="231">
        <f t="shared" si="19"/>
        <v>0</v>
      </c>
      <c r="AD244" s="248"/>
      <c r="AE244" s="231"/>
      <c r="AF244" s="231"/>
      <c r="AG244" s="231"/>
      <c r="AH244" s="250"/>
      <c r="AI244" s="342"/>
      <c r="AJ244" s="330"/>
    </row>
    <row r="245" spans="1:36">
      <c r="A245" s="172" t="s">
        <v>515</v>
      </c>
      <c r="B245" s="149"/>
      <c r="C245" s="148"/>
      <c r="D245" s="149"/>
      <c r="E245" s="4"/>
      <c r="F245" s="188"/>
      <c r="G245" s="148"/>
      <c r="H245" s="148"/>
      <c r="I245" s="149"/>
      <c r="J245" s="151"/>
      <c r="K245" s="148"/>
      <c r="L245" s="251"/>
      <c r="M245" s="251"/>
      <c r="N245" s="251"/>
      <c r="O245" s="251"/>
      <c r="P245" s="251"/>
      <c r="Q245" s="242">
        <f t="shared" si="17"/>
        <v>0</v>
      </c>
      <c r="R245" s="251"/>
      <c r="S245" s="231"/>
      <c r="T245" s="231"/>
      <c r="U245" s="231"/>
      <c r="V245" s="231"/>
      <c r="W245" s="242">
        <f t="shared" si="18"/>
        <v>0</v>
      </c>
      <c r="X245" s="248"/>
      <c r="Y245" s="251"/>
      <c r="Z245" s="251"/>
      <c r="AA245" s="251"/>
      <c r="AB245" s="251"/>
      <c r="AC245" s="231">
        <f t="shared" si="19"/>
        <v>0</v>
      </c>
      <c r="AD245" s="248"/>
      <c r="AE245" s="231"/>
      <c r="AF245" s="231"/>
      <c r="AG245" s="231"/>
      <c r="AH245" s="250"/>
      <c r="AI245" s="342"/>
      <c r="AJ245" s="330"/>
    </row>
    <row r="246" spans="1:36" ht="25.5">
      <c r="A246" s="4" t="s">
        <v>516</v>
      </c>
      <c r="B246" s="149"/>
      <c r="C246" s="148"/>
      <c r="D246" s="149"/>
      <c r="E246" s="4"/>
      <c r="F246" s="188"/>
      <c r="G246" s="148"/>
      <c r="H246" s="148"/>
      <c r="I246" s="149"/>
      <c r="J246" s="151"/>
      <c r="K246" s="148"/>
      <c r="L246" s="251"/>
      <c r="M246" s="251"/>
      <c r="N246" s="251"/>
      <c r="O246" s="251"/>
      <c r="P246" s="251"/>
      <c r="Q246" s="242">
        <f t="shared" si="17"/>
        <v>0</v>
      </c>
      <c r="R246" s="251"/>
      <c r="S246" s="231"/>
      <c r="T246" s="231"/>
      <c r="U246" s="231"/>
      <c r="V246" s="231"/>
      <c r="W246" s="242">
        <f t="shared" si="18"/>
        <v>0</v>
      </c>
      <c r="X246" s="248"/>
      <c r="Y246" s="251"/>
      <c r="Z246" s="251"/>
      <c r="AA246" s="251"/>
      <c r="AB246" s="251"/>
      <c r="AC246" s="231">
        <f t="shared" si="19"/>
        <v>0</v>
      </c>
      <c r="AD246" s="248"/>
      <c r="AE246" s="231"/>
      <c r="AF246" s="231"/>
      <c r="AG246" s="231"/>
      <c r="AH246" s="250"/>
      <c r="AI246" s="342"/>
      <c r="AJ246" s="330"/>
    </row>
    <row r="247" spans="1:36" ht="153.75">
      <c r="A247" s="4" t="s">
        <v>517</v>
      </c>
      <c r="B247" s="149"/>
      <c r="C247" s="148"/>
      <c r="D247" s="149"/>
      <c r="E247" s="249" t="s">
        <v>518</v>
      </c>
      <c r="F247" s="188" t="s">
        <v>519</v>
      </c>
      <c r="G247" s="148"/>
      <c r="H247" s="148"/>
      <c r="I247" s="149"/>
      <c r="J247" s="151"/>
      <c r="K247" s="148"/>
      <c r="L247" s="376">
        <v>4950</v>
      </c>
      <c r="M247" s="251"/>
      <c r="N247" s="251"/>
      <c r="O247" s="251"/>
      <c r="P247" s="251"/>
      <c r="Q247" s="242">
        <f t="shared" si="17"/>
        <v>4950</v>
      </c>
      <c r="R247" s="251"/>
      <c r="S247" s="231"/>
      <c r="T247" s="231"/>
      <c r="U247" s="231"/>
      <c r="V247" s="231"/>
      <c r="W247" s="242">
        <f t="shared" si="18"/>
        <v>0</v>
      </c>
      <c r="X247" s="248"/>
      <c r="Y247" s="251"/>
      <c r="Z247" s="251"/>
      <c r="AA247" s="251"/>
      <c r="AB247" s="251"/>
      <c r="AC247" s="231">
        <f t="shared" si="19"/>
        <v>0</v>
      </c>
      <c r="AD247" s="248"/>
      <c r="AE247" s="231"/>
      <c r="AF247" s="231"/>
      <c r="AG247" s="231"/>
      <c r="AH247" s="250"/>
      <c r="AI247" s="342"/>
      <c r="AJ247" s="330"/>
    </row>
    <row r="248" spans="1:36" ht="63.75">
      <c r="A248" s="4" t="s">
        <v>520</v>
      </c>
      <c r="B248" s="149"/>
      <c r="C248" s="148"/>
      <c r="D248" s="149"/>
      <c r="E248" s="4" t="s">
        <v>521</v>
      </c>
      <c r="F248" s="188" t="s">
        <v>80</v>
      </c>
      <c r="G248" s="148"/>
      <c r="H248" s="148"/>
      <c r="I248" s="149"/>
      <c r="J248" s="151"/>
      <c r="K248" s="148"/>
      <c r="L248" s="251"/>
      <c r="M248" s="251"/>
      <c r="N248" s="251"/>
      <c r="O248" s="251"/>
      <c r="P248" s="251"/>
      <c r="Q248" s="242">
        <f t="shared" si="17"/>
        <v>0</v>
      </c>
      <c r="R248" s="378">
        <v>44200</v>
      </c>
      <c r="S248" s="148"/>
      <c r="T248" s="148"/>
      <c r="U248" s="148"/>
      <c r="V248" s="148"/>
      <c r="W248" s="155">
        <f t="shared" si="18"/>
        <v>44200</v>
      </c>
      <c r="X248" s="248"/>
      <c r="Y248" s="251"/>
      <c r="Z248" s="251"/>
      <c r="AA248" s="251"/>
      <c r="AB248" s="251"/>
      <c r="AC248" s="231">
        <f t="shared" si="19"/>
        <v>0</v>
      </c>
      <c r="AD248" s="248"/>
      <c r="AE248" s="231"/>
      <c r="AF248" s="231"/>
      <c r="AG248" s="231"/>
      <c r="AH248" s="250"/>
      <c r="AI248" s="342"/>
      <c r="AJ248" s="330"/>
    </row>
    <row r="249" spans="1:36" ht="25.5">
      <c r="A249" s="4" t="s">
        <v>522</v>
      </c>
      <c r="B249" s="149"/>
      <c r="C249" s="148"/>
      <c r="D249" s="149"/>
      <c r="E249" s="4"/>
      <c r="F249" s="188"/>
      <c r="G249" s="148"/>
      <c r="H249" s="148"/>
      <c r="I249" s="149"/>
      <c r="J249" s="151"/>
      <c r="K249" s="148"/>
      <c r="L249" s="251"/>
      <c r="M249" s="251"/>
      <c r="N249" s="158"/>
      <c r="O249" s="158"/>
      <c r="P249" s="158"/>
      <c r="Q249" s="155">
        <f t="shared" si="17"/>
        <v>0</v>
      </c>
      <c r="R249" s="158"/>
      <c r="S249" s="148"/>
      <c r="T249" s="148"/>
      <c r="U249" s="148"/>
      <c r="V249" s="148"/>
      <c r="W249" s="155">
        <f t="shared" si="18"/>
        <v>0</v>
      </c>
      <c r="X249" s="239"/>
      <c r="Y249" s="158"/>
      <c r="Z249" s="158"/>
      <c r="AA249" s="158"/>
      <c r="AB249" s="158"/>
      <c r="AC249" s="148">
        <f t="shared" si="19"/>
        <v>0</v>
      </c>
      <c r="AD249" s="239"/>
      <c r="AE249" s="148"/>
      <c r="AF249" s="148"/>
      <c r="AG249" s="148"/>
      <c r="AH249" s="151"/>
      <c r="AI249" s="342"/>
      <c r="AJ249" s="330"/>
    </row>
    <row r="250" spans="1:36" ht="89.25">
      <c r="A250" s="4" t="s">
        <v>523</v>
      </c>
      <c r="B250" s="149"/>
      <c r="C250" s="148"/>
      <c r="D250" s="149"/>
      <c r="E250" s="4" t="s">
        <v>524</v>
      </c>
      <c r="F250" s="188"/>
      <c r="G250" s="148"/>
      <c r="H250" s="148"/>
      <c r="I250" s="149"/>
      <c r="J250" s="151"/>
      <c r="K250" s="148"/>
      <c r="L250" s="251"/>
      <c r="M250" s="251"/>
      <c r="N250" s="158"/>
      <c r="O250" s="158"/>
      <c r="P250" s="158"/>
      <c r="Q250" s="155">
        <f t="shared" si="17"/>
        <v>0</v>
      </c>
      <c r="R250" s="158"/>
      <c r="S250" s="148"/>
      <c r="T250" s="148"/>
      <c r="U250" s="148"/>
      <c r="V250" s="148"/>
      <c r="W250" s="155">
        <f t="shared" si="18"/>
        <v>0</v>
      </c>
      <c r="X250" s="239"/>
      <c r="Y250" s="158"/>
      <c r="Z250" s="158"/>
      <c r="AA250" s="158"/>
      <c r="AB250" s="158"/>
      <c r="AC250" s="148">
        <f t="shared" si="19"/>
        <v>0</v>
      </c>
      <c r="AD250" s="239"/>
      <c r="AE250" s="148"/>
      <c r="AF250" s="148"/>
      <c r="AG250" s="148"/>
      <c r="AH250" s="151"/>
      <c r="AI250" s="342"/>
      <c r="AJ250" s="330"/>
    </row>
    <row r="251" spans="1:36" ht="63.75">
      <c r="A251" s="4" t="s">
        <v>525</v>
      </c>
      <c r="B251" s="149"/>
      <c r="C251" s="148"/>
      <c r="D251" s="149"/>
      <c r="E251" s="4" t="s">
        <v>526</v>
      </c>
      <c r="F251" s="188" t="s">
        <v>527</v>
      </c>
      <c r="G251" s="148"/>
      <c r="H251" s="148"/>
      <c r="I251" s="149"/>
      <c r="J251" s="151"/>
      <c r="K251" s="148"/>
      <c r="L251" s="251"/>
      <c r="M251" s="251"/>
      <c r="N251" s="158"/>
      <c r="O251" s="369">
        <v>4900</v>
      </c>
      <c r="P251" s="158"/>
      <c r="Q251" s="155">
        <f t="shared" si="17"/>
        <v>4900</v>
      </c>
      <c r="R251" s="158"/>
      <c r="S251" s="148"/>
      <c r="T251" s="148"/>
      <c r="U251" s="148"/>
      <c r="V251" s="148"/>
      <c r="W251" s="155">
        <f t="shared" si="18"/>
        <v>0</v>
      </c>
      <c r="X251" s="239"/>
      <c r="Y251" s="158"/>
      <c r="Z251" s="158"/>
      <c r="AA251" s="158"/>
      <c r="AB251" s="158"/>
      <c r="AC251" s="148">
        <f t="shared" si="19"/>
        <v>0</v>
      </c>
      <c r="AD251" s="239"/>
      <c r="AE251" s="148"/>
      <c r="AF251" s="148"/>
      <c r="AG251" s="148"/>
      <c r="AH251" s="151"/>
      <c r="AI251" s="342"/>
      <c r="AJ251" s="330"/>
    </row>
    <row r="252" spans="1:36" ht="63.75">
      <c r="A252" s="4" t="s">
        <v>528</v>
      </c>
      <c r="B252" s="149"/>
      <c r="C252" s="148"/>
      <c r="D252" s="149"/>
      <c r="E252" s="4" t="s">
        <v>529</v>
      </c>
      <c r="F252" s="188" t="s">
        <v>530</v>
      </c>
      <c r="G252" s="148"/>
      <c r="H252" s="148"/>
      <c r="I252" s="149"/>
      <c r="J252" s="151"/>
      <c r="K252" s="148"/>
      <c r="L252" s="251"/>
      <c r="M252" s="251"/>
      <c r="N252" s="158"/>
      <c r="O252" s="377">
        <v>15000</v>
      </c>
      <c r="P252" s="158"/>
      <c r="Q252" s="155">
        <f t="shared" si="17"/>
        <v>15000</v>
      </c>
      <c r="R252" s="158"/>
      <c r="S252" s="148"/>
      <c r="T252" s="148"/>
      <c r="U252" s="148"/>
      <c r="V252" s="148"/>
      <c r="W252" s="155">
        <f t="shared" si="18"/>
        <v>0</v>
      </c>
      <c r="X252" s="239"/>
      <c r="Y252" s="158"/>
      <c r="Z252" s="158"/>
      <c r="AA252" s="158"/>
      <c r="AB252" s="158"/>
      <c r="AC252" s="148">
        <f t="shared" si="19"/>
        <v>0</v>
      </c>
      <c r="AD252" s="239"/>
      <c r="AE252" s="148"/>
      <c r="AF252" s="148"/>
      <c r="AG252" s="148"/>
      <c r="AH252" s="151"/>
      <c r="AI252" s="342"/>
      <c r="AJ252" s="330"/>
    </row>
    <row r="253" spans="1:36">
      <c r="A253" s="4" t="s">
        <v>531</v>
      </c>
      <c r="B253" s="149"/>
      <c r="C253" s="148"/>
      <c r="D253" s="149"/>
      <c r="E253" s="4"/>
      <c r="F253" s="188"/>
      <c r="G253" s="148"/>
      <c r="H253" s="148"/>
      <c r="I253" s="149"/>
      <c r="J253" s="151"/>
      <c r="K253" s="148"/>
      <c r="L253" s="251"/>
      <c r="M253" s="251"/>
      <c r="N253" s="158"/>
      <c r="O253" s="158"/>
      <c r="P253" s="158"/>
      <c r="Q253" s="155">
        <f t="shared" si="17"/>
        <v>0</v>
      </c>
      <c r="R253" s="158"/>
      <c r="S253" s="148"/>
      <c r="T253" s="148"/>
      <c r="U253" s="148"/>
      <c r="V253" s="148"/>
      <c r="W253" s="155">
        <f t="shared" si="18"/>
        <v>0</v>
      </c>
      <c r="X253" s="239"/>
      <c r="Y253" s="158"/>
      <c r="Z253" s="158"/>
      <c r="AA253" s="158"/>
      <c r="AB253" s="158"/>
      <c r="AC253" s="148">
        <f t="shared" si="19"/>
        <v>0</v>
      </c>
      <c r="AD253" s="239"/>
      <c r="AE253" s="148"/>
      <c r="AF253" s="148"/>
      <c r="AG253" s="148"/>
      <c r="AH253" s="151"/>
      <c r="AI253" s="342"/>
      <c r="AJ253" s="330"/>
    </row>
    <row r="254" spans="1:36" ht="344.25">
      <c r="A254" s="4" t="s">
        <v>532</v>
      </c>
      <c r="B254" s="149"/>
      <c r="C254" s="148"/>
      <c r="D254" s="149"/>
      <c r="E254" s="4" t="s">
        <v>533</v>
      </c>
      <c r="F254" s="188" t="s">
        <v>534</v>
      </c>
      <c r="G254" s="148"/>
      <c r="H254" s="148"/>
      <c r="I254" s="149"/>
      <c r="J254" s="151"/>
      <c r="K254" s="148"/>
      <c r="L254" s="251"/>
      <c r="M254" s="251"/>
      <c r="N254" s="251"/>
      <c r="O254" s="251"/>
      <c r="P254" s="251"/>
      <c r="Q254" s="242">
        <f t="shared" si="17"/>
        <v>0</v>
      </c>
      <c r="R254" s="251"/>
      <c r="S254" s="231"/>
      <c r="T254" s="231"/>
      <c r="U254" s="231"/>
      <c r="V254" s="231"/>
      <c r="W254" s="242">
        <f t="shared" si="18"/>
        <v>0</v>
      </c>
      <c r="X254" s="248"/>
      <c r="Y254" s="251"/>
      <c r="Z254" s="251"/>
      <c r="AA254" s="251"/>
      <c r="AB254" s="251"/>
      <c r="AC254" s="231">
        <f t="shared" si="19"/>
        <v>0</v>
      </c>
      <c r="AD254" s="248"/>
      <c r="AE254" s="231"/>
      <c r="AF254" s="231"/>
      <c r="AG254" s="231"/>
      <c r="AH254" s="250"/>
      <c r="AI254" s="342"/>
      <c r="AJ254" s="330"/>
    </row>
    <row r="255" spans="1:36" ht="127.5">
      <c r="A255" s="4" t="s">
        <v>535</v>
      </c>
      <c r="B255" s="149"/>
      <c r="C255" s="148"/>
      <c r="D255" s="149"/>
      <c r="E255" s="4" t="s">
        <v>536</v>
      </c>
      <c r="F255" s="188" t="s">
        <v>537</v>
      </c>
      <c r="G255" s="148"/>
      <c r="H255" s="148"/>
      <c r="I255" s="149"/>
      <c r="J255" s="151"/>
      <c r="K255" s="148"/>
      <c r="L255" s="251"/>
      <c r="M255" s="251"/>
      <c r="N255" s="251"/>
      <c r="O255" s="251"/>
      <c r="P255" s="251"/>
      <c r="Q255" s="242"/>
      <c r="R255" s="251"/>
      <c r="S255" s="231"/>
      <c r="T255" s="231"/>
      <c r="U255" s="231"/>
      <c r="V255" s="231"/>
      <c r="W255" s="242"/>
      <c r="X255" s="248"/>
      <c r="Y255" s="251"/>
      <c r="Z255" s="251"/>
      <c r="AA255" s="251"/>
      <c r="AB255" s="251"/>
      <c r="AC255" s="231">
        <f t="shared" si="19"/>
        <v>0</v>
      </c>
      <c r="AD255" s="248"/>
      <c r="AE255" s="231"/>
      <c r="AF255" s="231"/>
      <c r="AG255" s="231"/>
      <c r="AH255" s="250"/>
      <c r="AI255" s="342"/>
      <c r="AJ255" s="330"/>
    </row>
    <row r="256" spans="1:36" ht="25.5">
      <c r="A256" s="4" t="s">
        <v>538</v>
      </c>
      <c r="B256" s="149"/>
      <c r="C256" s="148"/>
      <c r="D256" s="149"/>
      <c r="E256" s="4"/>
      <c r="F256" s="190"/>
      <c r="G256" s="148"/>
      <c r="H256" s="148"/>
      <c r="I256" s="149"/>
      <c r="J256" s="151"/>
      <c r="K256" s="148"/>
      <c r="L256" s="158"/>
      <c r="M256" s="158"/>
      <c r="N256" s="158"/>
      <c r="O256" s="158"/>
      <c r="P256" s="158"/>
      <c r="Q256" s="256"/>
      <c r="R256" s="158"/>
      <c r="S256" s="148"/>
      <c r="T256" s="148"/>
      <c r="U256" s="148"/>
      <c r="V256" s="148"/>
      <c r="W256" s="155"/>
      <c r="X256" s="239"/>
      <c r="Y256" s="158"/>
      <c r="Z256" s="158"/>
      <c r="AA256" s="158"/>
      <c r="AB256" s="158"/>
      <c r="AC256" s="148">
        <f t="shared" si="19"/>
        <v>0</v>
      </c>
      <c r="AD256" s="239"/>
      <c r="AE256" s="148"/>
      <c r="AF256" s="148"/>
      <c r="AG256" s="148"/>
      <c r="AH256" s="151"/>
      <c r="AI256" s="342"/>
      <c r="AJ256" s="330"/>
    </row>
    <row r="257" spans="1:36" ht="39">
      <c r="A257" s="93" t="s">
        <v>539</v>
      </c>
      <c r="B257" s="149"/>
      <c r="C257" s="148"/>
      <c r="D257" s="149"/>
      <c r="E257" s="4"/>
      <c r="F257" s="190"/>
      <c r="G257" s="148"/>
      <c r="H257" s="148"/>
      <c r="I257" s="149"/>
      <c r="J257" s="151"/>
      <c r="K257" s="148"/>
      <c r="L257" s="158"/>
      <c r="M257" s="158"/>
      <c r="N257" s="158"/>
      <c r="O257" s="158"/>
      <c r="P257" s="158"/>
      <c r="Q257" s="256"/>
      <c r="R257" s="158"/>
      <c r="S257" s="148"/>
      <c r="T257" s="148"/>
      <c r="U257" s="148"/>
      <c r="V257" s="148"/>
      <c r="W257" s="155"/>
      <c r="X257" s="239"/>
      <c r="Y257" s="158"/>
      <c r="Z257" s="158"/>
      <c r="AA257" s="158"/>
      <c r="AB257" s="158"/>
      <c r="AC257" s="148">
        <f t="shared" si="19"/>
        <v>0</v>
      </c>
      <c r="AD257" s="239"/>
      <c r="AE257" s="148"/>
      <c r="AF257" s="148"/>
      <c r="AG257" s="148"/>
      <c r="AH257" s="151"/>
      <c r="AI257" s="342"/>
      <c r="AJ257" s="330"/>
    </row>
    <row r="258" spans="1:36" ht="153">
      <c r="A258" s="89" t="s">
        <v>540</v>
      </c>
      <c r="B258" s="149"/>
      <c r="C258" s="148"/>
      <c r="D258" s="149"/>
      <c r="E258" s="4" t="s">
        <v>541</v>
      </c>
      <c r="F258" s="188" t="s">
        <v>530</v>
      </c>
      <c r="G258" s="148"/>
      <c r="H258" s="148"/>
      <c r="I258" s="149"/>
      <c r="J258" s="151"/>
      <c r="K258" s="148"/>
      <c r="L258" s="158"/>
      <c r="M258" s="158"/>
      <c r="N258" s="158"/>
      <c r="O258" s="158"/>
      <c r="P258" s="158"/>
      <c r="Q258" s="256"/>
      <c r="R258" s="158"/>
      <c r="S258" s="148"/>
      <c r="T258" s="148"/>
      <c r="U258" s="148"/>
      <c r="V258" s="148"/>
      <c r="W258" s="155"/>
      <c r="X258" s="239"/>
      <c r="Y258" s="158"/>
      <c r="Z258" s="158"/>
      <c r="AA258" s="158"/>
      <c r="AB258" s="158"/>
      <c r="AC258" s="148">
        <f t="shared" si="19"/>
        <v>0</v>
      </c>
      <c r="AD258" s="239"/>
      <c r="AE258" s="148"/>
      <c r="AF258" s="148"/>
      <c r="AG258" s="148"/>
      <c r="AH258" s="151"/>
      <c r="AI258" s="342"/>
      <c r="AJ258" s="330"/>
    </row>
    <row r="259" spans="1:36" ht="127.5">
      <c r="A259" s="257" t="s">
        <v>542</v>
      </c>
      <c r="B259" s="149"/>
      <c r="C259" s="148"/>
      <c r="D259" s="149"/>
      <c r="E259" s="4" t="s">
        <v>543</v>
      </c>
      <c r="F259" s="188" t="s">
        <v>544</v>
      </c>
      <c r="G259" s="148"/>
      <c r="H259" s="148"/>
      <c r="I259" s="149"/>
      <c r="J259" s="151"/>
      <c r="K259" s="148"/>
      <c r="L259" s="158"/>
      <c r="M259" s="158"/>
      <c r="N259" s="158"/>
      <c r="O259" s="158"/>
      <c r="P259" s="158"/>
      <c r="Q259" s="256"/>
      <c r="R259" s="158"/>
      <c r="S259" s="148"/>
      <c r="T259" s="148"/>
      <c r="U259" s="148"/>
      <c r="V259" s="148"/>
      <c r="W259" s="155"/>
      <c r="X259" s="239"/>
      <c r="Y259" s="158"/>
      <c r="Z259" s="158"/>
      <c r="AA259" s="158"/>
      <c r="AB259" s="158"/>
      <c r="AC259" s="148">
        <f t="shared" si="19"/>
        <v>0</v>
      </c>
      <c r="AD259" s="239"/>
      <c r="AE259" s="148"/>
      <c r="AF259" s="148"/>
      <c r="AG259" s="148"/>
      <c r="AH259" s="151"/>
      <c r="AI259" s="342"/>
      <c r="AJ259" s="330"/>
    </row>
    <row r="260" spans="1:36" ht="115.5">
      <c r="A260" s="89" t="s">
        <v>545</v>
      </c>
      <c r="B260" s="149"/>
      <c r="C260" s="148"/>
      <c r="D260" s="149"/>
      <c r="E260" s="249" t="s">
        <v>546</v>
      </c>
      <c r="F260" s="188" t="s">
        <v>80</v>
      </c>
      <c r="G260" s="148"/>
      <c r="H260" s="148"/>
      <c r="I260" s="149"/>
      <c r="J260" s="151"/>
      <c r="K260" s="148"/>
      <c r="L260" s="158"/>
      <c r="M260" s="158"/>
      <c r="N260" s="158"/>
      <c r="O260" s="158"/>
      <c r="P260" s="158"/>
      <c r="Q260" s="256"/>
      <c r="R260" s="158"/>
      <c r="S260" s="148"/>
      <c r="T260" s="148"/>
      <c r="U260" s="148"/>
      <c r="V260" s="148"/>
      <c r="W260" s="155"/>
      <c r="X260" s="239"/>
      <c r="Y260" s="158"/>
      <c r="Z260" s="158"/>
      <c r="AA260" s="158"/>
      <c r="AB260" s="158"/>
      <c r="AC260" s="148">
        <f t="shared" si="19"/>
        <v>0</v>
      </c>
      <c r="AD260" s="239"/>
      <c r="AE260" s="148"/>
      <c r="AF260" s="148"/>
      <c r="AG260" s="148"/>
      <c r="AH260" s="151"/>
      <c r="AI260" s="342"/>
      <c r="AJ260" s="330"/>
    </row>
    <row r="261" spans="1:36" ht="115.5">
      <c r="A261" s="89" t="s">
        <v>547</v>
      </c>
      <c r="B261" s="149"/>
      <c r="C261" s="148"/>
      <c r="D261" s="149"/>
      <c r="E261" s="249" t="s">
        <v>546</v>
      </c>
      <c r="F261" s="188" t="s">
        <v>80</v>
      </c>
      <c r="G261" s="148"/>
      <c r="H261" s="148"/>
      <c r="I261" s="149"/>
      <c r="J261" s="151"/>
      <c r="K261" s="148"/>
      <c r="L261" s="158"/>
      <c r="M261" s="158"/>
      <c r="N261" s="158"/>
      <c r="O261" s="158"/>
      <c r="P261" s="158"/>
      <c r="Q261" s="256"/>
      <c r="R261" s="158"/>
      <c r="S261" s="148"/>
      <c r="T261" s="148"/>
      <c r="U261" s="148"/>
      <c r="V261" s="148"/>
      <c r="W261" s="155"/>
      <c r="X261" s="239"/>
      <c r="Y261" s="158"/>
      <c r="Z261" s="158"/>
      <c r="AA261" s="158"/>
      <c r="AB261" s="158"/>
      <c r="AC261" s="148">
        <f t="shared" si="19"/>
        <v>0</v>
      </c>
      <c r="AD261" s="239"/>
      <c r="AE261" s="148"/>
      <c r="AF261" s="148"/>
      <c r="AG261" s="148"/>
      <c r="AH261" s="151"/>
      <c r="AI261" s="342"/>
      <c r="AJ261" s="330"/>
    </row>
    <row r="262" spans="1:36">
      <c r="A262" s="4" t="s">
        <v>548</v>
      </c>
      <c r="B262" s="149"/>
      <c r="C262" s="148"/>
      <c r="D262" s="149"/>
      <c r="E262" s="249"/>
      <c r="F262" s="188"/>
      <c r="G262" s="148"/>
      <c r="H262" s="148"/>
      <c r="I262" s="149"/>
      <c r="J262" s="151"/>
      <c r="K262" s="148"/>
      <c r="L262" s="158"/>
      <c r="M262" s="158"/>
      <c r="N262" s="158"/>
      <c r="O262" s="158"/>
      <c r="P262" s="158"/>
      <c r="Q262" s="155"/>
      <c r="R262" s="158"/>
      <c r="S262" s="148"/>
      <c r="T262" s="148"/>
      <c r="U262" s="148"/>
      <c r="V262" s="148"/>
      <c r="W262" s="155"/>
      <c r="X262" s="239"/>
      <c r="Y262" s="158"/>
      <c r="Z262" s="158"/>
      <c r="AA262" s="158"/>
      <c r="AB262" s="158"/>
      <c r="AC262" s="148">
        <f t="shared" si="19"/>
        <v>0</v>
      </c>
      <c r="AD262" s="239"/>
      <c r="AE262" s="148"/>
      <c r="AF262" s="148"/>
      <c r="AG262" s="148"/>
      <c r="AH262" s="151"/>
      <c r="AI262" s="342"/>
      <c r="AJ262" s="330"/>
    </row>
    <row r="263" spans="1:36" ht="25.5">
      <c r="A263" s="247" t="s">
        <v>549</v>
      </c>
      <c r="B263" s="149"/>
      <c r="C263" s="148"/>
      <c r="D263" s="149"/>
      <c r="E263" s="249"/>
      <c r="F263" s="188"/>
      <c r="G263" s="148"/>
      <c r="H263" s="148"/>
      <c r="I263" s="149"/>
      <c r="J263" s="151"/>
      <c r="K263" s="148"/>
      <c r="L263" s="158"/>
      <c r="M263" s="158"/>
      <c r="N263" s="158"/>
      <c r="O263" s="158"/>
      <c r="P263" s="158"/>
      <c r="Q263" s="155"/>
      <c r="R263" s="158"/>
      <c r="S263" s="148"/>
      <c r="T263" s="148"/>
      <c r="U263" s="148"/>
      <c r="V263" s="148"/>
      <c r="W263" s="155"/>
      <c r="X263" s="239"/>
      <c r="Y263" s="158"/>
      <c r="Z263" s="158"/>
      <c r="AA263" s="158"/>
      <c r="AB263" s="158"/>
      <c r="AC263" s="148">
        <f t="shared" si="19"/>
        <v>0</v>
      </c>
      <c r="AD263" s="239"/>
      <c r="AE263" s="148"/>
      <c r="AF263" s="148"/>
      <c r="AG263" s="148"/>
      <c r="AH263" s="151"/>
      <c r="AI263" s="342"/>
      <c r="AJ263" s="330"/>
    </row>
    <row r="264" spans="1:36" ht="89.25">
      <c r="A264" s="4" t="s">
        <v>550</v>
      </c>
      <c r="B264" s="149"/>
      <c r="C264" s="148"/>
      <c r="D264" s="149"/>
      <c r="E264" s="4" t="s">
        <v>551</v>
      </c>
      <c r="F264" s="188" t="s">
        <v>527</v>
      </c>
      <c r="G264" s="148"/>
      <c r="H264" s="148"/>
      <c r="I264" s="149"/>
      <c r="J264" s="151"/>
      <c r="K264" s="148"/>
      <c r="L264" s="158"/>
      <c r="M264" s="158"/>
      <c r="N264" s="158"/>
      <c r="O264" s="158"/>
      <c r="P264" s="158"/>
      <c r="Q264" s="155"/>
      <c r="R264" s="379">
        <v>56010</v>
      </c>
      <c r="S264" s="148"/>
      <c r="T264" s="148"/>
      <c r="U264" s="148"/>
      <c r="V264" s="148"/>
      <c r="W264" s="438">
        <f>SUM(R264:V264)</f>
        <v>56010</v>
      </c>
      <c r="X264" s="379">
        <v>528380.62352000002</v>
      </c>
      <c r="Y264" s="158"/>
      <c r="Z264" s="158"/>
      <c r="AA264" s="158"/>
      <c r="AB264" s="158"/>
      <c r="AC264" s="369">
        <f t="shared" si="19"/>
        <v>528380.62352000002</v>
      </c>
      <c r="AD264" s="379">
        <v>924300.41399999999</v>
      </c>
      <c r="AE264" s="148"/>
      <c r="AF264" s="148"/>
      <c r="AG264" s="148"/>
      <c r="AH264" s="151"/>
      <c r="AI264" s="428">
        <f>SUM(AD264:AH264)</f>
        <v>924300.41399999999</v>
      </c>
      <c r="AJ264" s="330"/>
    </row>
    <row r="265" spans="1:36" ht="63.75">
      <c r="A265" s="4" t="s">
        <v>552</v>
      </c>
      <c r="B265" s="149"/>
      <c r="C265" s="148"/>
      <c r="D265" s="149"/>
      <c r="E265" s="4" t="s">
        <v>553</v>
      </c>
      <c r="F265" s="188" t="s">
        <v>554</v>
      </c>
      <c r="G265" s="148"/>
      <c r="H265" s="148"/>
      <c r="I265" s="149"/>
      <c r="J265" s="151"/>
      <c r="K265" s="148"/>
      <c r="L265" s="137"/>
      <c r="M265" s="158"/>
      <c r="N265" s="158"/>
      <c r="O265" s="158"/>
      <c r="P265" s="158"/>
      <c r="Q265" s="155"/>
      <c r="R265" s="379">
        <v>26798.73</v>
      </c>
      <c r="S265" s="148"/>
      <c r="T265" s="148"/>
      <c r="U265" s="148"/>
      <c r="V265" s="148"/>
      <c r="W265" s="379">
        <f>SUM(R265:V265)</f>
        <v>26798.73</v>
      </c>
      <c r="X265" s="379">
        <v>363662.30670000002</v>
      </c>
      <c r="Y265" s="158"/>
      <c r="Z265" s="158"/>
      <c r="AA265" s="158"/>
      <c r="AB265" s="158"/>
      <c r="AC265" s="379">
        <f>SUM(X265:AB265)</f>
        <v>363662.30670000002</v>
      </c>
      <c r="AD265" s="379">
        <v>165518.51329999999</v>
      </c>
      <c r="AE265" s="148"/>
      <c r="AF265" s="148"/>
      <c r="AG265" s="148"/>
      <c r="AH265" s="151"/>
      <c r="AI265" s="428">
        <f>SUM(AD265:AH265)</f>
        <v>165518.51329999999</v>
      </c>
      <c r="AJ265" s="330"/>
    </row>
    <row r="266" spans="1:36">
      <c r="A266" s="4" t="s">
        <v>555</v>
      </c>
      <c r="B266" s="167"/>
      <c r="C266" s="168"/>
      <c r="D266" s="167"/>
      <c r="E266" s="4"/>
      <c r="F266" s="188"/>
      <c r="G266" s="169"/>
      <c r="H266" s="169"/>
      <c r="I266" s="170"/>
      <c r="J266" s="171"/>
      <c r="K266" s="172"/>
      <c r="L266" s="258"/>
      <c r="M266" s="174"/>
      <c r="N266" s="174"/>
      <c r="O266" s="258"/>
      <c r="P266" s="174"/>
      <c r="Q266" s="155"/>
      <c r="R266" s="258"/>
      <c r="S266" s="175"/>
      <c r="T266" s="175"/>
      <c r="U266" s="176"/>
      <c r="V266" s="175"/>
      <c r="W266" s="155"/>
      <c r="X266" s="258"/>
      <c r="Y266" s="174"/>
      <c r="Z266" s="174"/>
      <c r="AA266" s="258"/>
      <c r="AB266" s="174"/>
      <c r="AC266" s="148">
        <f t="shared" ref="AC266:AC273" si="20">SUM(X266:AB266)</f>
        <v>0</v>
      </c>
      <c r="AD266" s="258"/>
      <c r="AE266" s="175"/>
      <c r="AF266" s="175"/>
      <c r="AG266" s="176"/>
      <c r="AH266" s="171"/>
      <c r="AI266" s="342"/>
      <c r="AJ266" s="330"/>
    </row>
    <row r="267" spans="1:36" ht="25.5">
      <c r="A267" s="259" t="s">
        <v>556</v>
      </c>
      <c r="B267" s="246"/>
      <c r="C267" s="246"/>
      <c r="D267" s="246"/>
      <c r="E267" s="4"/>
      <c r="F267" s="188"/>
      <c r="G267" s="246"/>
      <c r="H267" s="246"/>
      <c r="I267" s="246"/>
      <c r="J267" s="246"/>
      <c r="K267" s="246"/>
      <c r="L267" s="246"/>
      <c r="M267" s="246"/>
      <c r="N267" s="246"/>
      <c r="O267" s="246"/>
      <c r="P267" s="246"/>
      <c r="Q267" s="148"/>
      <c r="R267" s="246"/>
      <c r="S267" s="246"/>
      <c r="T267" s="246"/>
      <c r="U267" s="246"/>
      <c r="V267" s="246"/>
      <c r="W267" s="148"/>
      <c r="X267" s="246"/>
      <c r="Y267" s="246"/>
      <c r="Z267" s="246"/>
      <c r="AA267" s="246"/>
      <c r="AB267" s="246"/>
      <c r="AC267" s="148">
        <f t="shared" si="20"/>
        <v>0</v>
      </c>
      <c r="AD267" s="246"/>
      <c r="AE267" s="246"/>
      <c r="AF267" s="246"/>
      <c r="AG267" s="246"/>
      <c r="AH267" s="340"/>
      <c r="AI267" s="342"/>
      <c r="AJ267" s="330"/>
    </row>
    <row r="268" spans="1:36" ht="192">
      <c r="A268" s="260" t="s">
        <v>557</v>
      </c>
      <c r="B268" s="246"/>
      <c r="C268" s="246"/>
      <c r="D268" s="246"/>
      <c r="E268" s="93" t="s">
        <v>558</v>
      </c>
      <c r="F268" s="188" t="s">
        <v>80</v>
      </c>
      <c r="G268" s="246"/>
      <c r="H268" s="246"/>
      <c r="I268" s="246"/>
      <c r="J268" s="246"/>
      <c r="K268" s="246"/>
      <c r="L268" s="246"/>
      <c r="M268" s="246"/>
      <c r="N268" s="246"/>
      <c r="O268" s="246"/>
      <c r="P268" s="246"/>
      <c r="Q268" s="148"/>
      <c r="R268" s="246"/>
      <c r="S268" s="246"/>
      <c r="T268" s="246"/>
      <c r="U268" s="246"/>
      <c r="V268" s="246"/>
      <c r="W268" s="148"/>
      <c r="X268" s="246"/>
      <c r="Y268" s="246"/>
      <c r="Z268" s="246"/>
      <c r="AA268" s="246"/>
      <c r="AB268" s="246"/>
      <c r="AC268" s="148">
        <f t="shared" si="20"/>
        <v>0</v>
      </c>
      <c r="AD268" s="246"/>
      <c r="AE268" s="246"/>
      <c r="AF268" s="246"/>
      <c r="AG268" s="246"/>
      <c r="AH268" s="340"/>
      <c r="AI268" s="342"/>
      <c r="AJ268" s="330"/>
    </row>
    <row r="269" spans="1:36" ht="26.25">
      <c r="A269" s="261" t="s">
        <v>559</v>
      </c>
      <c r="B269" s="246"/>
      <c r="C269" s="246"/>
      <c r="D269" s="246"/>
      <c r="E269" s="249"/>
      <c r="F269" s="188" t="s">
        <v>80</v>
      </c>
      <c r="G269" s="246"/>
      <c r="H269" s="246"/>
      <c r="I269" s="246"/>
      <c r="J269" s="246"/>
      <c r="K269" s="246"/>
      <c r="L269" s="246"/>
      <c r="M269" s="246"/>
      <c r="N269" s="246"/>
      <c r="O269" s="246"/>
      <c r="P269" s="246"/>
      <c r="Q269" s="148"/>
      <c r="R269" s="246"/>
      <c r="S269" s="246"/>
      <c r="T269" s="246"/>
      <c r="U269" s="246"/>
      <c r="V269" s="246"/>
      <c r="W269" s="148"/>
      <c r="X269" s="246"/>
      <c r="Y269" s="246"/>
      <c r="Z269" s="246"/>
      <c r="AA269" s="246"/>
      <c r="AB269" s="246"/>
      <c r="AC269" s="148">
        <f t="shared" si="20"/>
        <v>0</v>
      </c>
      <c r="AD269" s="246"/>
      <c r="AE269" s="246"/>
      <c r="AF269" s="246"/>
      <c r="AG269" s="246"/>
      <c r="AH269" s="340"/>
      <c r="AI269" s="342"/>
      <c r="AJ269" s="330"/>
    </row>
    <row r="270" spans="1:36" ht="25.5">
      <c r="A270" s="51" t="s">
        <v>560</v>
      </c>
      <c r="B270" s="246"/>
      <c r="C270" s="246"/>
      <c r="D270" s="246"/>
      <c r="E270" s="249"/>
      <c r="F270" s="188" t="s">
        <v>80</v>
      </c>
      <c r="G270" s="246"/>
      <c r="H270" s="246"/>
      <c r="I270" s="246"/>
      <c r="J270" s="246"/>
      <c r="K270" s="246"/>
      <c r="L270" s="246"/>
      <c r="M270" s="246"/>
      <c r="N270" s="246"/>
      <c r="O270" s="246"/>
      <c r="P270" s="246"/>
      <c r="Q270" s="148"/>
      <c r="R270" s="246"/>
      <c r="S270" s="246"/>
      <c r="T270" s="246"/>
      <c r="U270" s="246"/>
      <c r="V270" s="246"/>
      <c r="W270" s="148"/>
      <c r="X270" s="246"/>
      <c r="Y270" s="246"/>
      <c r="Z270" s="246"/>
      <c r="AA270" s="246"/>
      <c r="AB270" s="246"/>
      <c r="AC270" s="148">
        <f t="shared" si="20"/>
        <v>0</v>
      </c>
      <c r="AD270" s="246"/>
      <c r="AE270" s="246"/>
      <c r="AF270" s="246"/>
      <c r="AG270" s="246"/>
      <c r="AH270" s="340"/>
      <c r="AI270" s="342"/>
      <c r="AJ270" s="330"/>
    </row>
    <row r="271" spans="1:36" ht="141">
      <c r="A271" s="51" t="s">
        <v>561</v>
      </c>
      <c r="B271" s="246"/>
      <c r="C271" s="246"/>
      <c r="D271" s="246"/>
      <c r="E271" s="249" t="s">
        <v>562</v>
      </c>
      <c r="F271" s="188" t="s">
        <v>563</v>
      </c>
      <c r="G271" s="246"/>
      <c r="H271" s="246"/>
      <c r="I271" s="246"/>
      <c r="J271" s="246"/>
      <c r="K271" s="246"/>
      <c r="L271" s="379">
        <v>15000</v>
      </c>
      <c r="M271" s="262"/>
      <c r="N271" s="262"/>
      <c r="O271" s="262"/>
      <c r="P271" s="262"/>
      <c r="Q271" s="380">
        <f>SUM(L271:P271)</f>
        <v>15000</v>
      </c>
      <c r="R271" s="262"/>
      <c r="S271" s="262"/>
      <c r="T271" s="262"/>
      <c r="U271" s="262"/>
      <c r="V271" s="262"/>
      <c r="W271" s="148"/>
      <c r="X271" s="262"/>
      <c r="Y271" s="262"/>
      <c r="Z271" s="262"/>
      <c r="AA271" s="262"/>
      <c r="AB271" s="262"/>
      <c r="AC271" s="148">
        <f t="shared" si="20"/>
        <v>0</v>
      </c>
      <c r="AD271" s="262"/>
      <c r="AE271" s="262"/>
      <c r="AF271" s="262"/>
      <c r="AG271" s="262"/>
      <c r="AH271" s="341"/>
      <c r="AI271" s="342"/>
      <c r="AJ271" s="330"/>
    </row>
    <row r="272" spans="1:36">
      <c r="A272" s="263" t="s">
        <v>564</v>
      </c>
      <c r="B272" s="246"/>
      <c r="C272" s="246"/>
      <c r="D272" s="246"/>
      <c r="E272" s="249"/>
      <c r="F272" s="188"/>
      <c r="G272" s="246"/>
      <c r="H272" s="246"/>
      <c r="I272" s="246"/>
      <c r="J272" s="246"/>
      <c r="K272" s="246"/>
      <c r="L272" s="246"/>
      <c r="M272" s="246"/>
      <c r="N272" s="246"/>
      <c r="O272" s="246"/>
      <c r="P272" s="246"/>
      <c r="Q272" s="148"/>
      <c r="R272" s="246"/>
      <c r="S272" s="246"/>
      <c r="T272" s="246"/>
      <c r="U272" s="246"/>
      <c r="V272" s="246"/>
      <c r="W272" s="148"/>
      <c r="X272" s="246"/>
      <c r="Y272" s="246"/>
      <c r="Z272" s="246"/>
      <c r="AA272" s="246"/>
      <c r="AB272" s="246"/>
      <c r="AC272" s="148">
        <f t="shared" si="20"/>
        <v>0</v>
      </c>
      <c r="AD272" s="246"/>
      <c r="AE272" s="246"/>
      <c r="AF272" s="246"/>
      <c r="AG272" s="246"/>
      <c r="AH272" s="340"/>
      <c r="AI272" s="342"/>
      <c r="AJ272" s="330"/>
    </row>
    <row r="273" spans="1:37">
      <c r="A273" s="259" t="s">
        <v>565</v>
      </c>
      <c r="B273" s="246"/>
      <c r="C273" s="246"/>
      <c r="D273" s="246"/>
      <c r="E273" s="249"/>
      <c r="F273" s="90"/>
      <c r="G273" s="246"/>
      <c r="H273" s="246"/>
      <c r="I273" s="246"/>
      <c r="J273" s="246"/>
      <c r="K273" s="246"/>
      <c r="L273" s="246"/>
      <c r="M273" s="246"/>
      <c r="N273" s="246"/>
      <c r="O273" s="246"/>
      <c r="P273" s="246"/>
      <c r="Q273" s="148"/>
      <c r="R273" s="246"/>
      <c r="S273" s="246"/>
      <c r="T273" s="246"/>
      <c r="U273" s="246"/>
      <c r="V273" s="246"/>
      <c r="W273" s="148"/>
      <c r="X273" s="246"/>
      <c r="Y273" s="246"/>
      <c r="Z273" s="246"/>
      <c r="AA273" s="246"/>
      <c r="AB273" s="246"/>
      <c r="AC273" s="148">
        <f t="shared" si="20"/>
        <v>0</v>
      </c>
      <c r="AD273" s="246"/>
      <c r="AE273" s="246"/>
      <c r="AF273" s="246"/>
      <c r="AG273" s="246"/>
      <c r="AH273" s="340"/>
      <c r="AI273" s="342"/>
      <c r="AJ273" s="330"/>
    </row>
    <row r="274" spans="1:37" ht="25.5">
      <c r="A274" s="51" t="s">
        <v>566</v>
      </c>
      <c r="B274" s="246"/>
      <c r="C274" s="246"/>
      <c r="D274" s="246"/>
      <c r="E274" s="249"/>
      <c r="F274" s="90"/>
      <c r="G274" s="246"/>
      <c r="H274" s="246"/>
      <c r="I274" s="246"/>
      <c r="J274" s="246"/>
      <c r="K274" s="246"/>
      <c r="L274" s="381">
        <v>1307.6859999999999</v>
      </c>
      <c r="M274" s="246"/>
      <c r="N274" s="246"/>
      <c r="O274" s="246"/>
      <c r="P274" s="246"/>
      <c r="Q274" s="437">
        <f>SUM(L274:P274)</f>
        <v>1307.6859999999999</v>
      </c>
      <c r="R274" s="381">
        <v>1307.6859999999999</v>
      </c>
      <c r="S274" s="262"/>
      <c r="T274" s="262"/>
      <c r="U274" s="262"/>
      <c r="V274" s="262"/>
      <c r="W274" s="370">
        <f>SUM(R274:V274)</f>
        <v>1307.6859999999999</v>
      </c>
      <c r="X274" s="436">
        <v>1307.6859999999999</v>
      </c>
      <c r="Y274" s="262"/>
      <c r="Z274" s="262"/>
      <c r="AA274" s="262"/>
      <c r="AB274" s="262"/>
      <c r="AC274" s="439">
        <f>SUM(X274:AB274)</f>
        <v>1307.6859999999999</v>
      </c>
      <c r="AD274" s="381">
        <v>1307.6859999999999</v>
      </c>
      <c r="AE274" s="262"/>
      <c r="AF274" s="262"/>
      <c r="AG274" s="262"/>
      <c r="AH274" s="341"/>
      <c r="AI274" s="440">
        <f>SUM(AD274:AH274)</f>
        <v>1307.6859999999999</v>
      </c>
      <c r="AJ274" s="330"/>
    </row>
    <row r="275" spans="1:37" ht="409.6">
      <c r="A275" s="51" t="s">
        <v>571</v>
      </c>
      <c r="B275" s="246"/>
      <c r="C275" s="246"/>
      <c r="D275" s="246"/>
      <c r="E275" s="249" t="s">
        <v>498</v>
      </c>
      <c r="F275" s="188" t="s">
        <v>567</v>
      </c>
      <c r="G275" s="246"/>
      <c r="H275" s="246"/>
      <c r="I275" s="246"/>
      <c r="J275" s="246"/>
      <c r="K275" s="246"/>
      <c r="L275" s="246"/>
      <c r="M275" s="246"/>
      <c r="N275" s="246"/>
      <c r="O275" s="246"/>
      <c r="P275" s="246"/>
      <c r="Q275" s="148"/>
      <c r="R275" s="246"/>
      <c r="S275" s="246"/>
      <c r="T275" s="246"/>
      <c r="U275" s="246"/>
      <c r="V275" s="246"/>
      <c r="W275" s="246"/>
      <c r="X275" s="246"/>
      <c r="Y275" s="246"/>
      <c r="Z275" s="246"/>
      <c r="AA275" s="246"/>
      <c r="AB275" s="246"/>
      <c r="AC275" s="246"/>
      <c r="AD275" s="246"/>
      <c r="AE275" s="246"/>
      <c r="AF275" s="246"/>
      <c r="AG275" s="246"/>
      <c r="AH275" s="340"/>
      <c r="AI275" s="342"/>
      <c r="AJ275" s="330"/>
    </row>
    <row r="276" spans="1:37">
      <c r="A276" s="172" t="s">
        <v>568</v>
      </c>
      <c r="B276" s="309"/>
      <c r="C276" s="309"/>
      <c r="D276" s="309"/>
      <c r="E276" s="310"/>
      <c r="F276" s="309"/>
      <c r="G276" s="309"/>
      <c r="H276" s="309"/>
      <c r="I276" s="309"/>
      <c r="J276" s="309"/>
      <c r="K276" s="309"/>
      <c r="L276" s="311">
        <v>20773</v>
      </c>
      <c r="M276" s="309"/>
      <c r="N276" s="309"/>
      <c r="O276" s="311">
        <v>19900</v>
      </c>
      <c r="P276" s="309"/>
      <c r="Q276" s="312">
        <v>40673</v>
      </c>
      <c r="R276" s="311">
        <v>99115</v>
      </c>
      <c r="S276" s="309"/>
      <c r="T276" s="309"/>
      <c r="U276" s="309"/>
      <c r="V276" s="309"/>
      <c r="W276" s="311">
        <v>99115</v>
      </c>
      <c r="X276" s="311">
        <v>908349</v>
      </c>
      <c r="Y276" s="309"/>
      <c r="Z276" s="309"/>
      <c r="AA276" s="309"/>
      <c r="AB276" s="309"/>
      <c r="AC276" s="311">
        <v>908349</v>
      </c>
      <c r="AD276" s="311">
        <v>1106125</v>
      </c>
      <c r="AE276" s="309"/>
      <c r="AF276" s="309"/>
      <c r="AG276" s="309"/>
      <c r="AH276" s="347"/>
      <c r="AI276" s="348">
        <v>1106125</v>
      </c>
      <c r="AJ276" s="337">
        <v>2154262</v>
      </c>
    </row>
    <row r="277" spans="1:37">
      <c r="A277" s="295"/>
      <c r="B277" s="431"/>
      <c r="C277" s="431"/>
      <c r="D277" s="431"/>
      <c r="E277" s="432"/>
      <c r="F277" s="431"/>
      <c r="G277" s="431"/>
      <c r="H277" s="431"/>
      <c r="I277" s="431"/>
      <c r="J277" s="431"/>
      <c r="K277" s="431"/>
      <c r="L277" s="435">
        <f>SUM(L224:L275)</f>
        <v>45623.686000000002</v>
      </c>
      <c r="M277" s="435">
        <f t="shared" ref="M277:AH277" si="21">SUM(M224:M275)</f>
        <v>0</v>
      </c>
      <c r="N277" s="435">
        <f t="shared" si="21"/>
        <v>0</v>
      </c>
      <c r="O277" s="435">
        <f t="shared" si="21"/>
        <v>19900</v>
      </c>
      <c r="P277" s="435">
        <f t="shared" si="21"/>
        <v>0</v>
      </c>
      <c r="Q277" s="435">
        <f>SUM(Q224:Q275)</f>
        <v>65523.686000000002</v>
      </c>
      <c r="R277" s="435">
        <f>SUM(R224:R275)</f>
        <v>143316.416</v>
      </c>
      <c r="S277" s="435">
        <f t="shared" si="21"/>
        <v>0</v>
      </c>
      <c r="T277" s="435">
        <f t="shared" si="21"/>
        <v>0</v>
      </c>
      <c r="U277" s="435">
        <f t="shared" si="21"/>
        <v>0</v>
      </c>
      <c r="V277" s="435">
        <f t="shared" si="21"/>
        <v>0</v>
      </c>
      <c r="W277" s="435">
        <f t="shared" si="21"/>
        <v>143316.416</v>
      </c>
      <c r="X277" s="435">
        <f t="shared" si="21"/>
        <v>908350.61621999997</v>
      </c>
      <c r="Y277" s="435">
        <f t="shared" si="21"/>
        <v>0</v>
      </c>
      <c r="Z277" s="435">
        <f t="shared" si="21"/>
        <v>0</v>
      </c>
      <c r="AA277" s="435">
        <f t="shared" si="21"/>
        <v>0</v>
      </c>
      <c r="AB277" s="435">
        <f t="shared" si="21"/>
        <v>0</v>
      </c>
      <c r="AC277" s="435">
        <f t="shared" si="21"/>
        <v>908350.61621999997</v>
      </c>
      <c r="AD277" s="435">
        <f>SUM(AD224:AD275)</f>
        <v>1106126.6133000001</v>
      </c>
      <c r="AE277" s="435">
        <f t="shared" si="21"/>
        <v>0</v>
      </c>
      <c r="AF277" s="435">
        <f t="shared" si="21"/>
        <v>0</v>
      </c>
      <c r="AG277" s="435">
        <f t="shared" si="21"/>
        <v>0</v>
      </c>
      <c r="AH277" s="435">
        <f t="shared" si="21"/>
        <v>0</v>
      </c>
      <c r="AI277" s="435">
        <f>SUM(AI224:AI275)</f>
        <v>1106126.6133000001</v>
      </c>
      <c r="AJ277" s="435">
        <f>SUM(AI277+AC277+W277+Q277)</f>
        <v>2223317.3315200005</v>
      </c>
      <c r="AK277" s="433"/>
    </row>
    <row r="278" spans="1:37">
      <c r="A278" s="295"/>
      <c r="B278" s="431"/>
      <c r="C278" s="431"/>
      <c r="D278" s="431"/>
      <c r="E278" s="432"/>
      <c r="F278" s="431"/>
      <c r="G278" s="431"/>
      <c r="H278" s="431"/>
      <c r="I278" s="431"/>
      <c r="J278" s="431"/>
      <c r="K278" s="431"/>
      <c r="L278" s="433"/>
      <c r="M278" s="431"/>
      <c r="N278" s="431"/>
      <c r="O278" s="433"/>
      <c r="P278" s="431"/>
      <c r="Q278" s="434">
        <f>SUM(L277:P277)</f>
        <v>65523.686000000002</v>
      </c>
      <c r="R278" s="433"/>
      <c r="S278" s="431"/>
      <c r="T278" s="431"/>
      <c r="U278" s="431"/>
      <c r="V278" s="431"/>
      <c r="W278" s="433"/>
      <c r="X278" s="433"/>
      <c r="Y278" s="431"/>
      <c r="Z278" s="431"/>
      <c r="AA278" s="431"/>
      <c r="AB278" s="431"/>
      <c r="AC278" s="433"/>
      <c r="AD278" s="433"/>
      <c r="AE278" s="431"/>
      <c r="AF278" s="431"/>
      <c r="AG278" s="431"/>
      <c r="AH278" s="431"/>
      <c r="AI278" s="422"/>
      <c r="AJ278" s="422"/>
    </row>
    <row r="279" spans="1:37">
      <c r="A279" s="295"/>
      <c r="B279" s="296"/>
      <c r="C279" s="296"/>
      <c r="D279" s="296"/>
      <c r="E279" s="297"/>
      <c r="F279" s="296"/>
      <c r="G279" s="296"/>
      <c r="H279" s="296"/>
      <c r="I279" s="296"/>
      <c r="J279" s="296"/>
      <c r="K279" s="296"/>
      <c r="L279" s="296"/>
      <c r="M279" s="296"/>
      <c r="N279" s="296"/>
      <c r="O279" s="296"/>
      <c r="P279" s="296"/>
      <c r="Q279" s="157"/>
      <c r="R279" s="296"/>
      <c r="S279" s="296"/>
      <c r="T279" s="296"/>
      <c r="U279" s="296"/>
      <c r="V279" s="296"/>
      <c r="W279" s="296"/>
      <c r="X279" s="296"/>
      <c r="Y279" s="296"/>
      <c r="Z279" s="296"/>
      <c r="AA279" s="296"/>
      <c r="AB279" s="296"/>
      <c r="AC279" s="296"/>
      <c r="AD279" s="296"/>
      <c r="AE279" s="296"/>
      <c r="AF279" s="296"/>
      <c r="AG279" s="296"/>
      <c r="AH279" s="296"/>
    </row>
    <row r="280" spans="1:37" ht="25.5">
      <c r="A280" s="295" t="s">
        <v>621</v>
      </c>
      <c r="B280" s="296"/>
      <c r="C280" s="296"/>
      <c r="D280" s="296"/>
      <c r="E280" s="297"/>
      <c r="F280" s="296"/>
      <c r="G280" s="296"/>
      <c r="H280" s="296"/>
      <c r="I280" s="296"/>
      <c r="J280" s="296"/>
      <c r="K280" s="296"/>
      <c r="L280" s="296"/>
      <c r="M280" s="296"/>
      <c r="N280" s="296"/>
      <c r="O280" s="296"/>
      <c r="P280" s="296"/>
      <c r="Q280" s="157"/>
      <c r="R280" s="296"/>
      <c r="S280" s="296"/>
      <c r="T280" s="296"/>
      <c r="U280" s="296"/>
      <c r="V280" s="296"/>
      <c r="W280" s="296"/>
      <c r="X280" s="296"/>
      <c r="Y280" s="296"/>
      <c r="Z280" s="296"/>
      <c r="AA280" s="296"/>
      <c r="AB280" s="296"/>
      <c r="AC280" s="296"/>
      <c r="AD280" s="296"/>
      <c r="AE280" s="296"/>
      <c r="AF280" s="296"/>
      <c r="AG280" s="296"/>
      <c r="AH280" s="296"/>
    </row>
    <row r="282" spans="1:37" ht="46.5" customHeight="1">
      <c r="A282" s="1078" t="s">
        <v>572</v>
      </c>
      <c r="B282" s="1078" t="s">
        <v>0</v>
      </c>
      <c r="C282" s="1078" t="s">
        <v>573</v>
      </c>
      <c r="D282" s="1081" t="s">
        <v>5</v>
      </c>
      <c r="E282" s="1082"/>
      <c r="F282" s="1078" t="s">
        <v>22</v>
      </c>
      <c r="G282" s="1083" t="s">
        <v>211</v>
      </c>
      <c r="H282" s="1083" t="s">
        <v>212</v>
      </c>
      <c r="I282" s="1083" t="s">
        <v>574</v>
      </c>
      <c r="J282" s="1181" t="s">
        <v>575</v>
      </c>
      <c r="K282" s="1181"/>
      <c r="L282" s="1181"/>
      <c r="M282" s="1181"/>
      <c r="N282" s="1181"/>
      <c r="O282" s="1181"/>
      <c r="P282" s="1181" t="s">
        <v>575</v>
      </c>
      <c r="Q282" s="1181"/>
      <c r="R282" s="1181"/>
      <c r="S282" s="1181"/>
      <c r="T282" s="1181"/>
      <c r="U282" s="1181"/>
      <c r="V282" s="1181" t="s">
        <v>575</v>
      </c>
      <c r="W282" s="1181"/>
      <c r="X282" s="1181"/>
      <c r="Y282" s="1181"/>
      <c r="Z282" s="1181"/>
      <c r="AA282" s="1181"/>
      <c r="AB282" s="1181" t="s">
        <v>575</v>
      </c>
      <c r="AC282" s="1181"/>
      <c r="AD282" s="1181"/>
      <c r="AE282" s="1181"/>
      <c r="AF282" s="1181"/>
      <c r="AG282" s="1181"/>
      <c r="AH282" s="267" t="s">
        <v>575</v>
      </c>
    </row>
    <row r="283" spans="1:37" ht="15" customHeight="1">
      <c r="A283" s="1079"/>
      <c r="B283" s="1079"/>
      <c r="C283" s="1079"/>
      <c r="D283" s="1073" t="s">
        <v>576</v>
      </c>
      <c r="E283" s="1073" t="s">
        <v>6</v>
      </c>
      <c r="F283" s="1079"/>
      <c r="G283" s="1083"/>
      <c r="H283" s="1083"/>
      <c r="I283" s="1083"/>
      <c r="J283" s="1180" t="s">
        <v>12</v>
      </c>
      <c r="K283" s="1180"/>
      <c r="L283" s="1180"/>
      <c r="M283" s="1180"/>
      <c r="N283" s="1180"/>
      <c r="O283" s="1180"/>
      <c r="P283" s="1180" t="s">
        <v>13</v>
      </c>
      <c r="Q283" s="1180"/>
      <c r="R283" s="1180"/>
      <c r="S283" s="1180"/>
      <c r="T283" s="1180"/>
      <c r="U283" s="1180"/>
      <c r="V283" s="1180" t="s">
        <v>14</v>
      </c>
      <c r="W283" s="1180"/>
      <c r="X283" s="1180"/>
      <c r="Y283" s="1180"/>
      <c r="Z283" s="1180"/>
      <c r="AA283" s="1180"/>
      <c r="AB283" s="1180" t="s">
        <v>15</v>
      </c>
      <c r="AC283" s="1180"/>
      <c r="AD283" s="1180"/>
      <c r="AE283" s="1180"/>
      <c r="AF283" s="1180"/>
      <c r="AG283" s="1180"/>
      <c r="AH283" s="267" t="s">
        <v>577</v>
      </c>
    </row>
    <row r="284" spans="1:37" ht="49.5" customHeight="1">
      <c r="A284" s="1080"/>
      <c r="B284" s="1080"/>
      <c r="C284" s="1080"/>
      <c r="D284" s="1074"/>
      <c r="E284" s="1074"/>
      <c r="F284" s="1080"/>
      <c r="G284" s="1083"/>
      <c r="H284" s="1083"/>
      <c r="I284" s="1083"/>
      <c r="J284" s="264" t="s">
        <v>1</v>
      </c>
      <c r="K284" s="264" t="s">
        <v>9</v>
      </c>
      <c r="L284" s="264" t="s">
        <v>3</v>
      </c>
      <c r="M284" s="264" t="s">
        <v>17</v>
      </c>
      <c r="N284" s="264" t="s">
        <v>19</v>
      </c>
      <c r="O284" s="264" t="s">
        <v>4</v>
      </c>
      <c r="P284" s="264" t="s">
        <v>1</v>
      </c>
      <c r="Q284" s="264" t="s">
        <v>9</v>
      </c>
      <c r="R284" s="264" t="s">
        <v>3</v>
      </c>
      <c r="S284" s="264" t="s">
        <v>17</v>
      </c>
      <c r="T284" s="264" t="s">
        <v>19</v>
      </c>
      <c r="U284" s="264" t="s">
        <v>4</v>
      </c>
      <c r="V284" s="264" t="s">
        <v>1</v>
      </c>
      <c r="W284" s="264" t="s">
        <v>9</v>
      </c>
      <c r="X284" s="264" t="s">
        <v>285</v>
      </c>
      <c r="Y284" s="264" t="s">
        <v>17</v>
      </c>
      <c r="Z284" s="264" t="s">
        <v>19</v>
      </c>
      <c r="AA284" s="264" t="s">
        <v>4</v>
      </c>
      <c r="AB284" s="264" t="s">
        <v>1</v>
      </c>
      <c r="AC284" s="264" t="s">
        <v>9</v>
      </c>
      <c r="AD284" s="264" t="s">
        <v>3</v>
      </c>
      <c r="AE284" s="264" t="s">
        <v>17</v>
      </c>
      <c r="AF284" s="264" t="s">
        <v>19</v>
      </c>
      <c r="AG284" s="264" t="s">
        <v>4</v>
      </c>
      <c r="AH284" s="265" t="s">
        <v>577</v>
      </c>
    </row>
    <row r="285" spans="1:37">
      <c r="A285" s="268"/>
      <c r="B285" s="268" t="s">
        <v>33</v>
      </c>
      <c r="C285" s="269" t="s">
        <v>34</v>
      </c>
      <c r="D285" s="269" t="s">
        <v>45</v>
      </c>
      <c r="E285" s="270" t="s">
        <v>35</v>
      </c>
      <c r="F285" s="268" t="s">
        <v>36</v>
      </c>
      <c r="G285" s="268" t="s">
        <v>37</v>
      </c>
      <c r="H285" s="268" t="s">
        <v>38</v>
      </c>
      <c r="I285" s="268" t="s">
        <v>39</v>
      </c>
      <c r="J285" s="11" t="s">
        <v>40</v>
      </c>
      <c r="K285" s="11" t="s">
        <v>41</v>
      </c>
      <c r="L285" s="11" t="s">
        <v>221</v>
      </c>
      <c r="M285" s="11" t="s">
        <v>222</v>
      </c>
      <c r="N285" s="11" t="s">
        <v>223</v>
      </c>
      <c r="O285" s="11" t="s">
        <v>224</v>
      </c>
      <c r="P285" s="11" t="s">
        <v>225</v>
      </c>
      <c r="Q285" s="11" t="s">
        <v>578</v>
      </c>
      <c r="R285" s="11" t="s">
        <v>227</v>
      </c>
      <c r="S285" s="11" t="s">
        <v>286</v>
      </c>
      <c r="T285" s="11" t="s">
        <v>229</v>
      </c>
      <c r="U285" s="11" t="s">
        <v>230</v>
      </c>
      <c r="V285" s="11" t="s">
        <v>231</v>
      </c>
      <c r="W285" s="11" t="s">
        <v>232</v>
      </c>
      <c r="X285" s="11" t="s">
        <v>233</v>
      </c>
      <c r="Y285" s="11" t="s">
        <v>234</v>
      </c>
      <c r="Z285" s="11" t="s">
        <v>235</v>
      </c>
      <c r="AA285" s="11" t="s">
        <v>236</v>
      </c>
      <c r="AB285" s="11" t="s">
        <v>237</v>
      </c>
      <c r="AC285" s="11" t="s">
        <v>238</v>
      </c>
      <c r="AD285" s="11" t="s">
        <v>239</v>
      </c>
      <c r="AE285" s="11" t="s">
        <v>240</v>
      </c>
      <c r="AF285" s="11" t="s">
        <v>241</v>
      </c>
      <c r="AG285" s="11" t="s">
        <v>242</v>
      </c>
      <c r="AH285" s="271" t="s">
        <v>243</v>
      </c>
    </row>
    <row r="286" spans="1:37">
      <c r="A286" s="272" t="s">
        <v>287</v>
      </c>
      <c r="B286" s="273"/>
      <c r="C286" s="273"/>
      <c r="D286" s="274"/>
      <c r="E286" s="274"/>
      <c r="F286" s="58"/>
      <c r="G286" s="273"/>
      <c r="H286" s="273"/>
      <c r="I286" s="273"/>
      <c r="J286" s="11"/>
      <c r="K286" s="11"/>
      <c r="L286" s="11"/>
      <c r="M286" s="11"/>
      <c r="N286" s="11"/>
      <c r="O286" s="11"/>
      <c r="P286" s="275"/>
      <c r="Q286" s="275"/>
      <c r="R286" s="275"/>
      <c r="S286" s="275"/>
      <c r="T286" s="275"/>
      <c r="U286" s="275"/>
      <c r="V286" s="275"/>
      <c r="W286" s="275"/>
      <c r="X286" s="275"/>
      <c r="Y286" s="275"/>
      <c r="Z286" s="275"/>
      <c r="AA286" s="275"/>
      <c r="AB286" s="275"/>
      <c r="AC286" s="275"/>
      <c r="AD286" s="275"/>
      <c r="AE286" s="275"/>
      <c r="AF286" s="275"/>
      <c r="AG286" s="275"/>
      <c r="AH286" s="275"/>
    </row>
    <row r="287" spans="1:37" ht="26.25">
      <c r="A287" s="276" t="s">
        <v>579</v>
      </c>
      <c r="B287" s="273"/>
      <c r="C287" s="273"/>
      <c r="D287" s="274"/>
      <c r="E287" s="274"/>
      <c r="F287" s="58"/>
      <c r="G287" s="273"/>
      <c r="H287" s="273"/>
      <c r="I287" s="273"/>
      <c r="J287" s="275"/>
      <c r="K287" s="275"/>
      <c r="L287" s="275"/>
      <c r="M287" s="275"/>
      <c r="N287" s="275"/>
      <c r="O287" s="275"/>
      <c r="P287" s="275"/>
      <c r="Q287" s="275"/>
      <c r="R287" s="275"/>
      <c r="S287" s="275"/>
      <c r="T287" s="275"/>
      <c r="U287" s="275"/>
      <c r="V287" s="275"/>
      <c r="W287" s="275"/>
      <c r="X287" s="275"/>
      <c r="Y287" s="275"/>
      <c r="Z287" s="275"/>
      <c r="AA287" s="275"/>
      <c r="AB287" s="275"/>
      <c r="AC287" s="275"/>
      <c r="AD287" s="275"/>
      <c r="AE287" s="275"/>
      <c r="AF287" s="275"/>
      <c r="AG287" s="275"/>
      <c r="AH287" s="275"/>
    </row>
    <row r="288" spans="1:37">
      <c r="A288" s="277" t="s">
        <v>580</v>
      </c>
      <c r="B288" s="273"/>
      <c r="C288" s="273"/>
      <c r="D288" s="274"/>
      <c r="E288" s="274"/>
      <c r="F288" s="58"/>
      <c r="G288" s="273"/>
      <c r="H288" s="273"/>
      <c r="I288" s="273"/>
      <c r="J288" s="275"/>
      <c r="K288" s="275"/>
      <c r="L288" s="275"/>
      <c r="M288" s="275"/>
      <c r="N288" s="275"/>
      <c r="O288" s="275"/>
      <c r="P288" s="275"/>
      <c r="Q288" s="275"/>
      <c r="R288" s="275"/>
      <c r="S288" s="275"/>
      <c r="T288" s="275"/>
      <c r="U288" s="275"/>
      <c r="V288" s="275"/>
      <c r="W288" s="275"/>
      <c r="X288" s="275"/>
      <c r="Y288" s="275"/>
      <c r="Z288" s="275"/>
      <c r="AA288" s="275"/>
      <c r="AB288" s="275"/>
      <c r="AC288" s="275"/>
      <c r="AD288" s="275"/>
      <c r="AE288" s="275"/>
      <c r="AF288" s="275"/>
      <c r="AG288" s="275"/>
      <c r="AH288" s="275"/>
    </row>
    <row r="289" spans="1:34">
      <c r="A289" s="277" t="s">
        <v>581</v>
      </c>
      <c r="B289" s="273"/>
      <c r="C289" s="273"/>
      <c r="D289" s="274"/>
      <c r="E289" s="274"/>
      <c r="F289" s="58"/>
      <c r="G289" s="273"/>
      <c r="H289" s="273"/>
      <c r="I289" s="273"/>
      <c r="J289" s="275"/>
      <c r="K289" s="275"/>
      <c r="L289" s="275"/>
      <c r="M289" s="275"/>
      <c r="N289" s="275"/>
      <c r="O289" s="275"/>
      <c r="P289" s="275"/>
      <c r="Q289" s="275"/>
      <c r="R289" s="275"/>
      <c r="S289" s="275"/>
      <c r="T289" s="275"/>
      <c r="U289" s="275"/>
      <c r="V289" s="275"/>
      <c r="W289" s="275"/>
      <c r="X289" s="275"/>
      <c r="Y289" s="275"/>
      <c r="Z289" s="275"/>
      <c r="AA289" s="275"/>
      <c r="AB289" s="275"/>
      <c r="AC289" s="275"/>
      <c r="AD289" s="275"/>
      <c r="AE289" s="275"/>
      <c r="AF289" s="275"/>
      <c r="AG289" s="275"/>
      <c r="AH289" s="275"/>
    </row>
    <row r="290" spans="1:34">
      <c r="A290" s="278" t="s">
        <v>16</v>
      </c>
      <c r="B290" s="279"/>
      <c r="C290" s="279"/>
      <c r="D290" s="279"/>
      <c r="E290" s="279"/>
      <c r="F290" s="58"/>
      <c r="G290" s="280"/>
      <c r="H290" s="280"/>
      <c r="I290" s="280"/>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row>
    <row r="291" spans="1:34" ht="38.25">
      <c r="A291" s="76" t="s">
        <v>582</v>
      </c>
      <c r="B291" s="279"/>
      <c r="C291" s="279"/>
      <c r="D291" s="279"/>
      <c r="E291" s="279"/>
      <c r="F291" s="58"/>
      <c r="G291" s="280"/>
      <c r="H291" s="280"/>
      <c r="I291" s="280"/>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row>
    <row r="292" spans="1:34">
      <c r="A292" s="281" t="s">
        <v>362</v>
      </c>
      <c r="B292" s="279"/>
      <c r="C292" s="279"/>
      <c r="D292" s="279"/>
      <c r="E292" s="279"/>
      <c r="F292" s="58"/>
      <c r="G292" s="280"/>
      <c r="H292" s="280"/>
      <c r="I292" s="280"/>
      <c r="J292" s="63"/>
      <c r="K292" s="63"/>
      <c r="L292" s="63"/>
      <c r="M292" s="63"/>
      <c r="N292" s="63"/>
      <c r="O292" s="63"/>
      <c r="P292" s="63"/>
      <c r="Q292" s="63"/>
      <c r="R292" s="63"/>
      <c r="S292" s="63"/>
      <c r="T292" s="63"/>
      <c r="U292" s="63"/>
      <c r="V292" s="63"/>
      <c r="W292" s="63"/>
      <c r="X292" s="63"/>
      <c r="Y292" s="63"/>
      <c r="Z292" s="63"/>
      <c r="AA292" s="63"/>
      <c r="AB292" s="63"/>
      <c r="AC292" s="63"/>
      <c r="AD292" s="63"/>
      <c r="AE292" s="63"/>
      <c r="AF292" s="63"/>
      <c r="AG292" s="63"/>
      <c r="AH292" s="63"/>
    </row>
    <row r="293" spans="1:34" ht="25.5">
      <c r="A293" s="76" t="s">
        <v>583</v>
      </c>
      <c r="B293" s="58"/>
      <c r="C293" s="58"/>
      <c r="D293" s="279"/>
      <c r="E293" s="279"/>
      <c r="F293" s="58"/>
      <c r="G293" s="280"/>
      <c r="H293" s="280"/>
      <c r="I293" s="280"/>
      <c r="J293" s="63"/>
      <c r="K293" s="63"/>
      <c r="L293" s="63"/>
      <c r="M293" s="63"/>
      <c r="N293" s="63"/>
      <c r="O293" s="63"/>
      <c r="P293" s="63"/>
      <c r="Q293" s="63"/>
      <c r="R293" s="63"/>
      <c r="S293" s="63"/>
      <c r="T293" s="63"/>
      <c r="U293" s="63"/>
      <c r="V293" s="63"/>
      <c r="W293" s="63"/>
      <c r="X293" s="63"/>
      <c r="Y293" s="63"/>
      <c r="Z293" s="63"/>
      <c r="AA293" s="63"/>
      <c r="AB293" s="63"/>
      <c r="AC293" s="63"/>
      <c r="AD293" s="63"/>
      <c r="AE293" s="63"/>
      <c r="AF293" s="63"/>
      <c r="AG293" s="63"/>
      <c r="AH293" s="63"/>
    </row>
    <row r="294" spans="1:34">
      <c r="A294" s="277" t="s">
        <v>584</v>
      </c>
      <c r="B294" s="58"/>
      <c r="C294" s="58"/>
      <c r="D294" s="58"/>
      <c r="E294" s="58"/>
      <c r="F294" s="58"/>
      <c r="G294" s="280"/>
      <c r="H294" s="280"/>
      <c r="I294" s="280"/>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row>
    <row r="295" spans="1:34" ht="25.5">
      <c r="A295" s="76" t="s">
        <v>585</v>
      </c>
      <c r="B295" s="58"/>
      <c r="C295" s="58"/>
      <c r="D295" s="58"/>
      <c r="E295" s="58"/>
      <c r="F295" s="58"/>
      <c r="G295" s="280"/>
      <c r="H295" s="280"/>
      <c r="I295" s="280"/>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row>
    <row r="296" spans="1:34">
      <c r="A296" s="277" t="s">
        <v>586</v>
      </c>
      <c r="B296" s="58"/>
      <c r="C296" s="58"/>
      <c r="D296" s="58"/>
      <c r="E296" s="58"/>
      <c r="F296" s="58"/>
      <c r="G296" s="280"/>
      <c r="H296" s="280"/>
      <c r="I296" s="280"/>
      <c r="J296" s="63"/>
      <c r="K296" s="63"/>
      <c r="L296" s="63"/>
      <c r="M296" s="63"/>
      <c r="N296" s="63"/>
      <c r="O296" s="63"/>
      <c r="P296" s="63"/>
      <c r="Q296" s="63"/>
      <c r="R296" s="63"/>
      <c r="S296" s="63"/>
      <c r="T296" s="63"/>
      <c r="U296" s="63"/>
      <c r="V296" s="63"/>
      <c r="W296" s="63"/>
      <c r="X296" s="63"/>
      <c r="Y296" s="63"/>
      <c r="Z296" s="63"/>
      <c r="AA296" s="63"/>
      <c r="AB296" s="63"/>
      <c r="AC296" s="63"/>
      <c r="AD296" s="63"/>
      <c r="AE296" s="63"/>
      <c r="AF296" s="63"/>
      <c r="AG296" s="63"/>
      <c r="AH296" s="63"/>
    </row>
    <row r="297" spans="1:34" ht="38.25">
      <c r="A297" s="76" t="s">
        <v>587</v>
      </c>
      <c r="B297" s="58"/>
      <c r="C297" s="58"/>
      <c r="D297" s="58"/>
      <c r="E297" s="58"/>
      <c r="F297" s="58"/>
      <c r="G297" s="280"/>
      <c r="H297" s="280"/>
      <c r="I297" s="280"/>
      <c r="J297" s="63"/>
      <c r="K297" s="63"/>
      <c r="L297" s="63"/>
      <c r="M297" s="63"/>
      <c r="N297" s="63"/>
      <c r="O297" s="63"/>
      <c r="P297" s="63"/>
      <c r="Q297" s="63"/>
      <c r="R297" s="63"/>
      <c r="S297" s="63"/>
      <c r="T297" s="63"/>
      <c r="U297" s="63"/>
      <c r="V297" s="63"/>
      <c r="W297" s="63"/>
      <c r="X297" s="63"/>
      <c r="Y297" s="63"/>
      <c r="Z297" s="63"/>
      <c r="AA297" s="63"/>
      <c r="AB297" s="63"/>
      <c r="AC297" s="63"/>
      <c r="AD297" s="63"/>
      <c r="AE297" s="63"/>
      <c r="AF297" s="63"/>
      <c r="AG297" s="63"/>
      <c r="AH297" s="63"/>
    </row>
    <row r="298" spans="1:34">
      <c r="A298" s="278" t="s">
        <v>16</v>
      </c>
      <c r="B298" s="279"/>
      <c r="C298" s="279"/>
      <c r="D298" s="279"/>
      <c r="E298" s="279"/>
      <c r="F298" s="58"/>
      <c r="G298" s="280"/>
      <c r="H298" s="280"/>
      <c r="I298" s="280"/>
      <c r="J298" s="63"/>
      <c r="K298" s="63"/>
      <c r="L298" s="63"/>
      <c r="M298" s="63"/>
      <c r="N298" s="63"/>
      <c r="O298" s="63"/>
      <c r="P298" s="63"/>
      <c r="Q298" s="63"/>
      <c r="R298" s="63"/>
      <c r="S298" s="63"/>
      <c r="T298" s="63"/>
      <c r="U298" s="63"/>
      <c r="V298" s="63"/>
      <c r="W298" s="63"/>
      <c r="X298" s="63"/>
      <c r="Y298" s="63"/>
      <c r="Z298" s="63"/>
      <c r="AA298" s="63"/>
      <c r="AB298" s="63"/>
      <c r="AC298" s="63"/>
      <c r="AD298" s="63"/>
      <c r="AE298" s="63"/>
      <c r="AF298" s="63"/>
      <c r="AG298" s="63"/>
      <c r="AH298" s="63"/>
    </row>
    <row r="299" spans="1:34" ht="38.25">
      <c r="A299" s="76" t="s">
        <v>582</v>
      </c>
      <c r="B299" s="279"/>
      <c r="C299" s="279"/>
      <c r="D299" s="279"/>
      <c r="E299" s="279"/>
      <c r="F299" s="58"/>
      <c r="G299" s="280"/>
      <c r="H299" s="280"/>
      <c r="I299" s="280"/>
      <c r="J299" s="63"/>
      <c r="K299" s="63"/>
      <c r="L299" s="63"/>
      <c r="M299" s="63"/>
      <c r="N299" s="63"/>
      <c r="O299" s="63"/>
      <c r="P299" s="63"/>
      <c r="Q299" s="63"/>
      <c r="R299" s="63"/>
      <c r="S299" s="63"/>
      <c r="T299" s="63"/>
      <c r="U299" s="63"/>
      <c r="V299" s="63"/>
      <c r="W299" s="63"/>
      <c r="X299" s="63"/>
      <c r="Y299" s="63"/>
      <c r="Z299" s="63"/>
      <c r="AA299" s="63"/>
      <c r="AB299" s="63"/>
      <c r="AC299" s="63"/>
      <c r="AD299" s="63"/>
      <c r="AE299" s="63"/>
      <c r="AF299" s="63"/>
      <c r="AG299" s="63"/>
      <c r="AH299" s="63"/>
    </row>
    <row r="300" spans="1:34">
      <c r="A300" s="281" t="s">
        <v>588</v>
      </c>
      <c r="B300" s="279"/>
      <c r="C300" s="279"/>
      <c r="D300" s="279"/>
      <c r="E300" s="279"/>
      <c r="F300" s="58"/>
      <c r="G300" s="280"/>
      <c r="H300" s="280"/>
      <c r="I300" s="280"/>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row>
    <row r="301" spans="1:34" ht="25.5">
      <c r="A301" s="76" t="s">
        <v>583</v>
      </c>
      <c r="B301" s="58"/>
      <c r="C301" s="58"/>
      <c r="D301" s="279"/>
      <c r="E301" s="279"/>
      <c r="F301" s="58"/>
      <c r="G301" s="280"/>
      <c r="H301" s="280"/>
      <c r="I301" s="280"/>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row>
    <row r="302" spans="1:34">
      <c r="A302" s="282" t="s">
        <v>589</v>
      </c>
      <c r="B302" s="283"/>
      <c r="C302" s="283"/>
      <c r="D302" s="283"/>
      <c r="E302" s="283"/>
      <c r="F302" s="77"/>
      <c r="G302" s="284"/>
      <c r="H302" s="284"/>
      <c r="I302" s="284"/>
      <c r="J302" s="285"/>
      <c r="K302" s="285"/>
      <c r="L302" s="285"/>
      <c r="M302" s="285"/>
      <c r="N302" s="285"/>
      <c r="O302" s="63"/>
      <c r="P302" s="285"/>
      <c r="Q302" s="285"/>
      <c r="R302" s="285"/>
      <c r="S302" s="285"/>
      <c r="T302" s="285"/>
      <c r="U302" s="63"/>
      <c r="V302" s="285"/>
      <c r="W302" s="285"/>
      <c r="X302" s="285"/>
      <c r="Y302" s="285"/>
      <c r="Z302" s="285"/>
      <c r="AA302" s="63"/>
      <c r="AB302" s="285"/>
      <c r="AC302" s="285"/>
      <c r="AD302" s="285"/>
      <c r="AE302" s="285"/>
      <c r="AF302" s="285"/>
      <c r="AG302" s="63"/>
      <c r="AH302" s="63"/>
    </row>
    <row r="303" spans="1:34" ht="255">
      <c r="A303" s="76" t="s">
        <v>590</v>
      </c>
      <c r="B303" s="58" t="s">
        <v>161</v>
      </c>
      <c r="C303" s="58" t="s">
        <v>591</v>
      </c>
      <c r="D303" s="58" t="s">
        <v>163</v>
      </c>
      <c r="E303" s="58" t="s">
        <v>592</v>
      </c>
      <c r="F303" s="58" t="s">
        <v>156</v>
      </c>
      <c r="G303" s="4" t="s">
        <v>593</v>
      </c>
      <c r="H303" s="152"/>
      <c r="I303" s="280"/>
      <c r="J303" s="63"/>
      <c r="K303" s="63"/>
      <c r="L303" s="63"/>
      <c r="M303" s="63">
        <v>3655.1844843897802</v>
      </c>
      <c r="N303" s="63"/>
      <c r="O303" s="63">
        <f>SUM(J303:N303)</f>
        <v>3655.1844843897802</v>
      </c>
      <c r="P303" s="63"/>
      <c r="Q303" s="63"/>
      <c r="R303" s="63"/>
      <c r="S303" s="63">
        <v>3440.1844843897802</v>
      </c>
      <c r="T303" s="63"/>
      <c r="U303" s="63">
        <f>SUM(P303:T303)</f>
        <v>3440.1844843897802</v>
      </c>
      <c r="V303" s="63"/>
      <c r="W303" s="63"/>
      <c r="X303" s="63"/>
      <c r="Y303" s="63"/>
      <c r="Z303" s="63"/>
      <c r="AA303" s="63"/>
      <c r="AB303" s="63"/>
      <c r="AC303" s="63"/>
      <c r="AD303" s="63"/>
      <c r="AE303" s="63"/>
      <c r="AF303" s="63"/>
      <c r="AG303" s="63"/>
      <c r="AH303" s="63"/>
    </row>
    <row r="304" spans="1:34">
      <c r="A304" s="286" t="s">
        <v>594</v>
      </c>
      <c r="B304" s="287"/>
      <c r="C304" s="287"/>
      <c r="D304" s="288"/>
      <c r="E304" s="288"/>
      <c r="F304" s="289"/>
      <c r="G304" s="287"/>
      <c r="H304" s="287"/>
      <c r="I304" s="287"/>
      <c r="J304" s="275"/>
      <c r="K304" s="275"/>
      <c r="L304" s="275"/>
      <c r="M304" s="275"/>
      <c r="N304" s="275"/>
      <c r="O304" s="63"/>
      <c r="P304" s="275"/>
      <c r="Q304" s="275"/>
      <c r="R304" s="275"/>
      <c r="S304" s="275"/>
      <c r="T304" s="275"/>
      <c r="U304" s="63"/>
      <c r="V304" s="275"/>
      <c r="W304" s="275"/>
      <c r="X304" s="275"/>
      <c r="Y304" s="275"/>
      <c r="Z304" s="275"/>
      <c r="AA304" s="63"/>
      <c r="AB304" s="275"/>
      <c r="AC304" s="275"/>
      <c r="AD304" s="275"/>
      <c r="AE304" s="275"/>
      <c r="AF304" s="275"/>
      <c r="AG304" s="63"/>
      <c r="AH304" s="63"/>
    </row>
    <row r="305" spans="1:34" ht="25.5">
      <c r="A305" s="76" t="s">
        <v>595</v>
      </c>
      <c r="B305" s="290"/>
      <c r="C305" s="290"/>
      <c r="D305" s="279"/>
      <c r="E305" s="279"/>
      <c r="F305" s="58"/>
      <c r="G305" s="280"/>
      <c r="H305" s="280"/>
      <c r="I305" s="280"/>
      <c r="J305" s="63"/>
      <c r="K305" s="63"/>
      <c r="L305" s="63"/>
      <c r="M305" s="63"/>
      <c r="N305" s="63"/>
      <c r="O305" s="63"/>
      <c r="P305" s="63"/>
      <c r="Q305" s="63"/>
      <c r="R305" s="63"/>
      <c r="S305" s="63"/>
      <c r="T305" s="63"/>
      <c r="U305" s="63"/>
      <c r="V305" s="63"/>
      <c r="W305" s="63"/>
      <c r="X305" s="63"/>
      <c r="Y305" s="63"/>
      <c r="Z305" s="63"/>
      <c r="AA305" s="63"/>
      <c r="AB305" s="63"/>
      <c r="AC305" s="63"/>
      <c r="AD305" s="63"/>
      <c r="AE305" s="63"/>
      <c r="AF305" s="63"/>
      <c r="AG305" s="63"/>
      <c r="AH305" s="63"/>
    </row>
    <row r="306" spans="1:34">
      <c r="A306" s="278" t="s">
        <v>596</v>
      </c>
      <c r="B306" s="280"/>
      <c r="C306" s="280"/>
      <c r="D306" s="279"/>
      <c r="E306" s="279"/>
      <c r="F306" s="58"/>
      <c r="G306" s="280"/>
      <c r="H306" s="280"/>
      <c r="I306" s="280"/>
      <c r="J306" s="63"/>
      <c r="K306" s="63"/>
      <c r="L306" s="63"/>
      <c r="M306" s="63"/>
      <c r="N306" s="63"/>
      <c r="O306" s="63"/>
      <c r="P306" s="63"/>
      <c r="Q306" s="63"/>
      <c r="R306" s="63"/>
      <c r="S306" s="63"/>
      <c r="T306" s="63"/>
      <c r="U306" s="63"/>
      <c r="V306" s="63"/>
      <c r="W306" s="63"/>
      <c r="X306" s="63"/>
      <c r="Y306" s="63"/>
      <c r="Z306" s="63"/>
      <c r="AA306" s="63"/>
      <c r="AB306" s="63"/>
      <c r="AC306" s="63"/>
      <c r="AD306" s="63"/>
      <c r="AE306" s="63"/>
      <c r="AF306" s="63"/>
      <c r="AG306" s="63"/>
      <c r="AH306" s="63"/>
    </row>
    <row r="307" spans="1:34" ht="25.5">
      <c r="A307" s="76" t="s">
        <v>597</v>
      </c>
      <c r="B307" s="280"/>
      <c r="C307" s="280"/>
      <c r="D307" s="279"/>
      <c r="E307" s="279"/>
      <c r="F307" s="58"/>
      <c r="G307" s="280"/>
      <c r="H307" s="280"/>
      <c r="I307" s="280"/>
      <c r="J307" s="63"/>
      <c r="K307" s="63"/>
      <c r="L307" s="63"/>
      <c r="M307" s="63"/>
      <c r="N307" s="63"/>
      <c r="O307" s="63"/>
      <c r="P307" s="63"/>
      <c r="Q307" s="63"/>
      <c r="R307" s="63"/>
      <c r="S307" s="63"/>
      <c r="T307" s="63"/>
      <c r="U307" s="63"/>
      <c r="V307" s="63"/>
      <c r="W307" s="63"/>
      <c r="X307" s="63"/>
      <c r="Y307" s="63"/>
      <c r="Z307" s="63"/>
      <c r="AA307" s="63"/>
      <c r="AB307" s="63"/>
      <c r="AC307" s="63"/>
      <c r="AD307" s="63"/>
      <c r="AE307" s="63"/>
      <c r="AF307" s="63"/>
      <c r="AG307" s="63"/>
      <c r="AH307" s="63"/>
    </row>
    <row r="308" spans="1:34">
      <c r="A308" s="278" t="s">
        <v>16</v>
      </c>
      <c r="B308" s="279"/>
      <c r="C308" s="279"/>
      <c r="D308" s="279"/>
      <c r="E308" s="279"/>
      <c r="F308" s="58"/>
      <c r="G308" s="280"/>
      <c r="H308" s="280"/>
      <c r="I308" s="280"/>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row>
    <row r="309" spans="1:34" ht="38.25">
      <c r="A309" s="76" t="s">
        <v>582</v>
      </c>
      <c r="B309" s="279"/>
      <c r="C309" s="279"/>
      <c r="D309" s="279"/>
      <c r="E309" s="279"/>
      <c r="F309" s="58"/>
      <c r="G309" s="280"/>
      <c r="H309" s="280"/>
      <c r="I309" s="280"/>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row>
    <row r="310" spans="1:34">
      <c r="A310" s="281" t="s">
        <v>362</v>
      </c>
      <c r="B310" s="279"/>
      <c r="C310" s="279"/>
      <c r="D310" s="279"/>
      <c r="E310" s="279"/>
      <c r="F310" s="58"/>
      <c r="G310" s="280"/>
      <c r="H310" s="280"/>
      <c r="I310" s="280"/>
      <c r="J310" s="63"/>
      <c r="K310" s="63"/>
      <c r="L310" s="63"/>
      <c r="M310" s="63"/>
      <c r="N310" s="63"/>
      <c r="O310" s="63"/>
      <c r="P310" s="63"/>
      <c r="Q310" s="63"/>
      <c r="R310" s="63"/>
      <c r="S310" s="63"/>
      <c r="T310" s="63"/>
      <c r="U310" s="63"/>
      <c r="V310" s="63"/>
      <c r="W310" s="63"/>
      <c r="X310" s="63"/>
      <c r="Y310" s="63"/>
      <c r="Z310" s="63"/>
      <c r="AA310" s="63"/>
      <c r="AB310" s="63"/>
      <c r="AC310" s="63"/>
      <c r="AD310" s="63"/>
      <c r="AE310" s="63"/>
      <c r="AF310" s="63"/>
      <c r="AG310" s="63"/>
      <c r="AH310" s="63"/>
    </row>
    <row r="311" spans="1:34" ht="25.5">
      <c r="A311" s="76" t="s">
        <v>583</v>
      </c>
      <c r="B311" s="58"/>
      <c r="C311" s="58"/>
      <c r="D311" s="279"/>
      <c r="E311" s="279"/>
      <c r="F311" s="58"/>
      <c r="G311" s="280"/>
      <c r="H311" s="280"/>
      <c r="I311" s="280"/>
      <c r="J311" s="63"/>
      <c r="K311" s="63"/>
      <c r="L311" s="63"/>
      <c r="M311" s="63"/>
      <c r="N311" s="63"/>
      <c r="O311" s="63"/>
      <c r="P311" s="63"/>
      <c r="Q311" s="63"/>
      <c r="R311" s="63"/>
      <c r="S311" s="63"/>
      <c r="T311" s="63"/>
      <c r="U311" s="63"/>
      <c r="V311" s="63"/>
      <c r="W311" s="63"/>
      <c r="X311" s="63"/>
      <c r="Y311" s="63"/>
      <c r="Z311" s="63"/>
      <c r="AA311" s="63"/>
      <c r="AB311" s="63"/>
      <c r="AC311" s="63"/>
      <c r="AD311" s="63"/>
      <c r="AE311" s="63"/>
      <c r="AF311" s="63"/>
      <c r="AG311" s="63"/>
      <c r="AH311" s="63"/>
    </row>
    <row r="312" spans="1:34" ht="344.25">
      <c r="A312" s="76" t="s">
        <v>598</v>
      </c>
      <c r="B312" s="58" t="s">
        <v>161</v>
      </c>
      <c r="C312" s="58" t="s">
        <v>599</v>
      </c>
      <c r="D312" s="4" t="s">
        <v>80</v>
      </c>
      <c r="E312" s="4" t="s">
        <v>155</v>
      </c>
      <c r="F312" s="4" t="s">
        <v>600</v>
      </c>
      <c r="G312" s="4" t="s">
        <v>593</v>
      </c>
      <c r="H312" s="4" t="s">
        <v>601</v>
      </c>
      <c r="I312" s="280"/>
      <c r="J312" s="63">
        <v>250000</v>
      </c>
      <c r="K312" s="63"/>
      <c r="L312" s="63"/>
      <c r="M312" s="63"/>
      <c r="N312" s="63"/>
      <c r="O312" s="63">
        <f t="shared" ref="O312:O320" si="22">SUM(J312:N312)</f>
        <v>250000</v>
      </c>
      <c r="P312" s="63">
        <v>250000</v>
      </c>
      <c r="Q312" s="63"/>
      <c r="R312" s="63"/>
      <c r="S312" s="63"/>
      <c r="T312" s="63"/>
      <c r="U312" s="63">
        <f t="shared" ref="U312:U320" si="23">SUM(P312:T312)</f>
        <v>250000</v>
      </c>
      <c r="V312" s="63">
        <v>250000</v>
      </c>
      <c r="W312" s="63"/>
      <c r="X312" s="63"/>
      <c r="Y312" s="63"/>
      <c r="Z312" s="63"/>
      <c r="AA312" s="63">
        <f t="shared" ref="AA312:AA320" si="24">SUM(V312:Z312)</f>
        <v>250000</v>
      </c>
      <c r="AB312" s="63"/>
      <c r="AC312" s="63"/>
      <c r="AD312" s="63"/>
      <c r="AE312" s="63"/>
      <c r="AF312" s="63"/>
      <c r="AG312" s="63"/>
      <c r="AH312" s="63">
        <f>SUM(J312+P312+V312+AB312)</f>
        <v>750000</v>
      </c>
    </row>
    <row r="313" spans="1:34" ht="191.25">
      <c r="A313" s="76" t="s">
        <v>602</v>
      </c>
      <c r="B313" s="58" t="s">
        <v>153</v>
      </c>
      <c r="C313" s="58" t="s">
        <v>172</v>
      </c>
      <c r="D313" s="58" t="s">
        <v>80</v>
      </c>
      <c r="E313" s="58" t="s">
        <v>155</v>
      </c>
      <c r="F313" s="58" t="s">
        <v>156</v>
      </c>
      <c r="G313" s="4" t="s">
        <v>593</v>
      </c>
      <c r="H313" s="4" t="s">
        <v>603</v>
      </c>
      <c r="I313" s="280"/>
      <c r="J313" s="63">
        <v>14848</v>
      </c>
      <c r="K313" s="63"/>
      <c r="L313" s="63"/>
      <c r="M313" s="63"/>
      <c r="N313" s="63"/>
      <c r="O313" s="63">
        <f t="shared" si="22"/>
        <v>14848</v>
      </c>
      <c r="P313" s="63">
        <v>33027</v>
      </c>
      <c r="Q313" s="63"/>
      <c r="R313" s="63"/>
      <c r="S313" s="63"/>
      <c r="T313" s="63"/>
      <c r="U313" s="63">
        <f t="shared" si="23"/>
        <v>33027</v>
      </c>
      <c r="V313" s="63">
        <v>8000</v>
      </c>
      <c r="W313" s="63"/>
      <c r="X313" s="63"/>
      <c r="Y313" s="63"/>
      <c r="Z313" s="63"/>
      <c r="AA313" s="63">
        <f t="shared" si="24"/>
        <v>8000</v>
      </c>
      <c r="AB313" s="63">
        <v>55000</v>
      </c>
      <c r="AC313" s="63"/>
      <c r="AD313" s="63"/>
      <c r="AE313" s="63"/>
      <c r="AF313" s="63"/>
      <c r="AG313" s="63">
        <f t="shared" ref="AG313:AG320" si="25">SUM(AB313:AF313)</f>
        <v>55000</v>
      </c>
      <c r="AH313" s="63">
        <f t="shared" ref="AH313:AH320" si="26">SUM(J313+P313+V313+AB313)</f>
        <v>110875</v>
      </c>
    </row>
    <row r="314" spans="1:34" ht="280.5">
      <c r="A314" s="76" t="s">
        <v>604</v>
      </c>
      <c r="B314" s="58" t="s">
        <v>153</v>
      </c>
      <c r="C314" s="58" t="s">
        <v>173</v>
      </c>
      <c r="D314" s="58" t="s">
        <v>80</v>
      </c>
      <c r="E314" s="58" t="s">
        <v>155</v>
      </c>
      <c r="F314" s="58" t="s">
        <v>156</v>
      </c>
      <c r="G314" s="4" t="s">
        <v>593</v>
      </c>
      <c r="H314" s="4" t="s">
        <v>603</v>
      </c>
      <c r="I314" s="280"/>
      <c r="J314" s="63">
        <v>14933</v>
      </c>
      <c r="K314" s="63"/>
      <c r="L314" s="63"/>
      <c r="M314" s="63"/>
      <c r="N314" s="63"/>
      <c r="O314" s="63">
        <f t="shared" si="22"/>
        <v>14933</v>
      </c>
      <c r="P314" s="63">
        <v>16426</v>
      </c>
      <c r="Q314" s="63"/>
      <c r="R314" s="63"/>
      <c r="S314" s="63"/>
      <c r="T314" s="63"/>
      <c r="U314" s="63">
        <f t="shared" si="23"/>
        <v>16426</v>
      </c>
      <c r="V314" s="63">
        <v>18068</v>
      </c>
      <c r="W314" s="63"/>
      <c r="X314" s="63"/>
      <c r="Y314" s="63"/>
      <c r="Z314" s="63"/>
      <c r="AA314" s="63">
        <f t="shared" si="24"/>
        <v>18068</v>
      </c>
      <c r="AB314" s="63">
        <v>19875</v>
      </c>
      <c r="AC314" s="63"/>
      <c r="AD314" s="63"/>
      <c r="AE314" s="63"/>
      <c r="AF314" s="63"/>
      <c r="AG314" s="63">
        <f t="shared" si="25"/>
        <v>19875</v>
      </c>
      <c r="AH314" s="63">
        <f t="shared" si="26"/>
        <v>69302</v>
      </c>
    </row>
    <row r="315" spans="1:34">
      <c r="A315" s="281" t="s">
        <v>605</v>
      </c>
      <c r="B315" s="279"/>
      <c r="C315" s="279"/>
      <c r="D315" s="279"/>
      <c r="E315" s="279"/>
      <c r="F315" s="58"/>
      <c r="G315" s="280"/>
      <c r="H315" s="280"/>
      <c r="I315" s="280"/>
      <c r="J315" s="63"/>
      <c r="K315" s="63"/>
      <c r="L315" s="63"/>
      <c r="M315" s="63"/>
      <c r="N315" s="63"/>
      <c r="O315" s="63"/>
      <c r="P315" s="63"/>
      <c r="Q315" s="63"/>
      <c r="R315" s="63"/>
      <c r="S315" s="63"/>
      <c r="T315" s="63"/>
      <c r="U315" s="63"/>
      <c r="V315" s="63"/>
      <c r="W315" s="63"/>
      <c r="X315" s="63"/>
      <c r="Y315" s="63"/>
      <c r="Z315" s="63"/>
      <c r="AA315" s="63"/>
      <c r="AB315" s="63"/>
      <c r="AC315" s="63"/>
      <c r="AD315" s="63"/>
      <c r="AE315" s="63"/>
      <c r="AF315" s="63"/>
      <c r="AG315" s="63"/>
      <c r="AH315" s="63"/>
    </row>
    <row r="316" spans="1:34" ht="38.25">
      <c r="A316" s="76" t="s">
        <v>606</v>
      </c>
      <c r="B316" s="58"/>
      <c r="C316" s="58"/>
      <c r="D316" s="279"/>
      <c r="E316" s="279"/>
      <c r="F316" s="58"/>
      <c r="G316" s="280"/>
      <c r="H316" s="280"/>
      <c r="I316" s="280"/>
      <c r="J316" s="63"/>
      <c r="K316" s="63"/>
      <c r="L316" s="63"/>
      <c r="M316" s="63"/>
      <c r="N316" s="63"/>
      <c r="O316" s="63"/>
      <c r="P316" s="63"/>
      <c r="Q316" s="63"/>
      <c r="R316" s="63"/>
      <c r="S316" s="63"/>
      <c r="T316" s="63"/>
      <c r="U316" s="63"/>
      <c r="V316" s="63"/>
      <c r="W316" s="63"/>
      <c r="X316" s="63"/>
      <c r="Y316" s="63"/>
      <c r="Z316" s="63"/>
      <c r="AA316" s="63"/>
      <c r="AB316" s="63"/>
      <c r="AC316" s="63"/>
      <c r="AD316" s="63"/>
      <c r="AE316" s="63"/>
      <c r="AF316" s="63"/>
      <c r="AG316" s="63"/>
      <c r="AH316" s="63"/>
    </row>
    <row r="317" spans="1:34" ht="357">
      <c r="A317" s="76" t="s">
        <v>607</v>
      </c>
      <c r="B317" s="58" t="s">
        <v>161</v>
      </c>
      <c r="C317" s="58" t="s">
        <v>182</v>
      </c>
      <c r="D317" s="58" t="s">
        <v>80</v>
      </c>
      <c r="E317" s="58" t="s">
        <v>155</v>
      </c>
      <c r="F317" s="58" t="s">
        <v>156</v>
      </c>
      <c r="G317" s="63" t="s">
        <v>608</v>
      </c>
      <c r="H317" s="4" t="s">
        <v>603</v>
      </c>
      <c r="I317" s="280"/>
      <c r="J317" s="63">
        <v>12469.8</v>
      </c>
      <c r="K317" s="63"/>
      <c r="L317" s="63"/>
      <c r="M317" s="63"/>
      <c r="N317" s="63"/>
      <c r="O317" s="63">
        <f t="shared" si="22"/>
        <v>12469.8</v>
      </c>
      <c r="P317" s="63">
        <v>148988</v>
      </c>
      <c r="Q317" s="63"/>
      <c r="R317" s="63"/>
      <c r="S317" s="63"/>
      <c r="T317" s="63"/>
      <c r="U317" s="63">
        <f t="shared" si="23"/>
        <v>148988</v>
      </c>
      <c r="V317" s="63">
        <v>154670.29999999999</v>
      </c>
      <c r="W317" s="63"/>
      <c r="X317" s="63"/>
      <c r="Y317" s="63"/>
      <c r="Z317" s="63"/>
      <c r="AA317" s="63">
        <f t="shared" si="24"/>
        <v>154670.29999999999</v>
      </c>
      <c r="AB317" s="63">
        <v>159788.29999999999</v>
      </c>
      <c r="AC317" s="63"/>
      <c r="AD317" s="63"/>
      <c r="AE317" s="63"/>
      <c r="AF317" s="63"/>
      <c r="AG317" s="63">
        <f t="shared" si="25"/>
        <v>159788.29999999999</v>
      </c>
      <c r="AH317" s="63">
        <f t="shared" si="26"/>
        <v>475916.39999999997</v>
      </c>
    </row>
    <row r="318" spans="1:34" ht="140.25">
      <c r="A318" s="76" t="s">
        <v>609</v>
      </c>
      <c r="B318" s="58" t="s">
        <v>161</v>
      </c>
      <c r="C318" s="58" t="s">
        <v>192</v>
      </c>
      <c r="D318" s="58" t="s">
        <v>80</v>
      </c>
      <c r="E318" s="58" t="s">
        <v>155</v>
      </c>
      <c r="F318" s="58" t="s">
        <v>156</v>
      </c>
      <c r="G318" s="63" t="s">
        <v>608</v>
      </c>
      <c r="H318" s="4" t="s">
        <v>603</v>
      </c>
      <c r="I318" s="280"/>
      <c r="J318" s="63">
        <v>4913</v>
      </c>
      <c r="K318" s="63"/>
      <c r="L318" s="63"/>
      <c r="M318" s="63"/>
      <c r="N318" s="63"/>
      <c r="O318" s="63">
        <f t="shared" si="22"/>
        <v>4913</v>
      </c>
      <c r="P318" s="63">
        <v>5268</v>
      </c>
      <c r="Q318" s="63"/>
      <c r="R318" s="63"/>
      <c r="S318" s="63"/>
      <c r="T318" s="63"/>
      <c r="U318" s="63">
        <f t="shared" si="23"/>
        <v>5268</v>
      </c>
      <c r="V318" s="63">
        <v>4318</v>
      </c>
      <c r="W318" s="63"/>
      <c r="X318" s="63"/>
      <c r="Y318" s="63"/>
      <c r="Z318" s="63"/>
      <c r="AA318" s="63">
        <f t="shared" si="24"/>
        <v>4318</v>
      </c>
      <c r="AB318" s="63">
        <v>4318</v>
      </c>
      <c r="AC318" s="63"/>
      <c r="AD318" s="63"/>
      <c r="AE318" s="63"/>
      <c r="AF318" s="63"/>
      <c r="AG318" s="63">
        <f t="shared" si="25"/>
        <v>4318</v>
      </c>
      <c r="AH318" s="63">
        <f t="shared" si="26"/>
        <v>18817</v>
      </c>
    </row>
    <row r="319" spans="1:34" ht="242.25">
      <c r="A319" s="76" t="s">
        <v>610</v>
      </c>
      <c r="B319" s="58" t="s">
        <v>161</v>
      </c>
      <c r="C319" s="58" t="s">
        <v>185</v>
      </c>
      <c r="D319" s="58" t="s">
        <v>163</v>
      </c>
      <c r="E319" s="58" t="s">
        <v>186</v>
      </c>
      <c r="F319" s="58" t="s">
        <v>156</v>
      </c>
      <c r="G319" s="63" t="s">
        <v>608</v>
      </c>
      <c r="H319" s="4" t="s">
        <v>603</v>
      </c>
      <c r="I319" s="280"/>
      <c r="J319" s="63">
        <v>3360.13</v>
      </c>
      <c r="K319" s="63"/>
      <c r="L319" s="63"/>
      <c r="M319" s="63"/>
      <c r="N319" s="63"/>
      <c r="O319" s="63">
        <f t="shared" si="22"/>
        <v>3360.13</v>
      </c>
      <c r="P319" s="63">
        <v>6840</v>
      </c>
      <c r="Q319" s="63"/>
      <c r="R319" s="63"/>
      <c r="S319" s="63"/>
      <c r="T319" s="63"/>
      <c r="U319" s="63">
        <f t="shared" si="23"/>
        <v>6840</v>
      </c>
      <c r="V319" s="63">
        <v>7305</v>
      </c>
      <c r="W319" s="63"/>
      <c r="X319" s="63"/>
      <c r="Y319" s="63"/>
      <c r="Z319" s="63"/>
      <c r="AA319" s="63">
        <f t="shared" si="24"/>
        <v>7305</v>
      </c>
      <c r="AB319" s="63">
        <v>8050</v>
      </c>
      <c r="AC319" s="63"/>
      <c r="AD319" s="63"/>
      <c r="AE319" s="63"/>
      <c r="AF319" s="63"/>
      <c r="AG319" s="63">
        <f t="shared" si="25"/>
        <v>8050</v>
      </c>
      <c r="AH319" s="63">
        <f t="shared" si="26"/>
        <v>25555.13</v>
      </c>
    </row>
    <row r="320" spans="1:34" ht="191.25">
      <c r="A320" s="76" t="s">
        <v>611</v>
      </c>
      <c r="B320" s="58" t="s">
        <v>153</v>
      </c>
      <c r="C320" s="58" t="s">
        <v>188</v>
      </c>
      <c r="D320" s="58" t="s">
        <v>80</v>
      </c>
      <c r="E320" s="58" t="s">
        <v>155</v>
      </c>
      <c r="F320" s="58" t="s">
        <v>156</v>
      </c>
      <c r="G320" s="63" t="s">
        <v>608</v>
      </c>
      <c r="H320" s="4" t="s">
        <v>603</v>
      </c>
      <c r="I320" s="280"/>
      <c r="J320" s="63">
        <v>1200</v>
      </c>
      <c r="K320" s="63"/>
      <c r="L320" s="63"/>
      <c r="M320" s="63"/>
      <c r="N320" s="63"/>
      <c r="O320" s="63">
        <f t="shared" si="22"/>
        <v>1200</v>
      </c>
      <c r="P320" s="63">
        <v>1300</v>
      </c>
      <c r="Q320" s="63"/>
      <c r="R320" s="63"/>
      <c r="S320" s="63"/>
      <c r="T320" s="63"/>
      <c r="U320" s="63">
        <f t="shared" si="23"/>
        <v>1300</v>
      </c>
      <c r="V320" s="63">
        <v>1400</v>
      </c>
      <c r="W320" s="63"/>
      <c r="X320" s="63"/>
      <c r="Y320" s="63"/>
      <c r="Z320" s="63"/>
      <c r="AA320" s="63">
        <f t="shared" si="24"/>
        <v>1400</v>
      </c>
      <c r="AB320" s="63">
        <v>1500</v>
      </c>
      <c r="AC320" s="63"/>
      <c r="AD320" s="63"/>
      <c r="AE320" s="63"/>
      <c r="AF320" s="63"/>
      <c r="AG320" s="63">
        <f t="shared" si="25"/>
        <v>1500</v>
      </c>
      <c r="AH320" s="63">
        <f t="shared" si="26"/>
        <v>5400</v>
      </c>
    </row>
    <row r="321" spans="1:34">
      <c r="A321" s="291" t="s">
        <v>612</v>
      </c>
      <c r="B321" s="292"/>
      <c r="C321" s="292"/>
      <c r="D321" s="292"/>
      <c r="E321" s="292"/>
      <c r="F321" s="293"/>
      <c r="G321" s="280"/>
      <c r="H321" s="280"/>
      <c r="I321" s="280"/>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row>
    <row r="322" spans="1:34" ht="25.5">
      <c r="A322" s="76" t="s">
        <v>613</v>
      </c>
      <c r="B322" s="279"/>
      <c r="C322" s="279"/>
      <c r="D322" s="279"/>
      <c r="E322" s="279"/>
      <c r="F322" s="58"/>
      <c r="G322" s="280"/>
      <c r="H322" s="280"/>
      <c r="I322" s="280"/>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row>
    <row r="323" spans="1:34">
      <c r="A323" s="278" t="s">
        <v>16</v>
      </c>
      <c r="B323" s="279"/>
      <c r="C323" s="279"/>
      <c r="D323" s="279"/>
      <c r="E323" s="279"/>
      <c r="F323" s="58"/>
      <c r="G323" s="280"/>
      <c r="H323" s="280"/>
      <c r="I323" s="280"/>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row>
    <row r="324" spans="1:34" ht="38.25">
      <c r="A324" s="76" t="s">
        <v>582</v>
      </c>
      <c r="B324" s="279"/>
      <c r="C324" s="279"/>
      <c r="D324" s="279"/>
      <c r="E324" s="279"/>
      <c r="F324" s="58"/>
      <c r="G324" s="280"/>
      <c r="H324" s="280"/>
      <c r="I324" s="280"/>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row>
    <row r="325" spans="1:34">
      <c r="A325" s="278" t="s">
        <v>614</v>
      </c>
      <c r="B325" s="279"/>
      <c r="C325" s="279"/>
      <c r="D325" s="279"/>
      <c r="E325" s="279"/>
      <c r="F325" s="58"/>
      <c r="G325" s="280"/>
      <c r="H325" s="280"/>
      <c r="I325" s="280"/>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row>
    <row r="326" spans="1:34" ht="25.5">
      <c r="A326" s="76" t="s">
        <v>583</v>
      </c>
      <c r="B326" s="279"/>
      <c r="C326" s="279"/>
      <c r="D326" s="279"/>
      <c r="E326" s="279"/>
      <c r="F326" s="58"/>
      <c r="G326" s="280"/>
      <c r="H326" s="280"/>
      <c r="I326" s="280"/>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row>
    <row r="327" spans="1:34" ht="229.5">
      <c r="A327" s="76" t="s">
        <v>615</v>
      </c>
      <c r="B327" s="58" t="s">
        <v>153</v>
      </c>
      <c r="C327" s="58" t="s">
        <v>190</v>
      </c>
      <c r="D327" s="58" t="s">
        <v>80</v>
      </c>
      <c r="E327" s="58" t="s">
        <v>155</v>
      </c>
      <c r="F327" s="77" t="s">
        <v>156</v>
      </c>
      <c r="G327" s="63" t="s">
        <v>593</v>
      </c>
      <c r="H327" s="4" t="s">
        <v>601</v>
      </c>
      <c r="I327" s="280"/>
      <c r="J327" s="63">
        <v>22000</v>
      </c>
      <c r="K327" s="63"/>
      <c r="L327" s="63"/>
      <c r="M327" s="63"/>
      <c r="N327" s="63"/>
      <c r="O327" s="63">
        <f>SUM(J327:N327)</f>
        <v>22000</v>
      </c>
      <c r="P327" s="63">
        <v>22000</v>
      </c>
      <c r="Q327" s="63"/>
      <c r="R327" s="63"/>
      <c r="S327" s="63"/>
      <c r="T327" s="63"/>
      <c r="U327" s="63">
        <f>SUM(P327:T327)</f>
        <v>22000</v>
      </c>
      <c r="V327" s="63">
        <v>33621</v>
      </c>
      <c r="W327" s="63"/>
      <c r="X327" s="63"/>
      <c r="Y327" s="63"/>
      <c r="Z327" s="63"/>
      <c r="AA327" s="63">
        <f>SUM(V327:Z327)</f>
        <v>33621</v>
      </c>
      <c r="AB327" s="63">
        <v>34234</v>
      </c>
      <c r="AC327" s="63"/>
      <c r="AD327" s="63"/>
      <c r="AE327" s="63"/>
      <c r="AF327" s="63"/>
      <c r="AG327" s="63">
        <f>SUM(AB327:AF327)</f>
        <v>34234</v>
      </c>
      <c r="AH327" s="63">
        <f>SUM(J327+P327+V327+AB327)</f>
        <v>111855</v>
      </c>
    </row>
    <row r="328" spans="1:34">
      <c r="A328" s="172" t="s">
        <v>616</v>
      </c>
      <c r="B328" s="58"/>
      <c r="C328" s="58"/>
      <c r="D328" s="58"/>
      <c r="E328" s="58"/>
      <c r="F328" s="77"/>
      <c r="G328" s="63"/>
      <c r="H328" s="4"/>
      <c r="I328" s="280"/>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row>
    <row r="329" spans="1:34" ht="25.5">
      <c r="A329" s="294" t="s">
        <v>617</v>
      </c>
      <c r="B329" s="58"/>
      <c r="C329" s="58"/>
      <c r="D329" s="58"/>
      <c r="E329" s="58"/>
      <c r="F329" s="77"/>
      <c r="G329" s="63"/>
      <c r="H329" s="4"/>
      <c r="I329" s="280"/>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row>
    <row r="330" spans="1:34">
      <c r="A330" s="172" t="s">
        <v>618</v>
      </c>
      <c r="B330" s="58"/>
      <c r="C330" s="58"/>
      <c r="D330" s="58"/>
      <c r="E330" s="58"/>
      <c r="F330" s="77"/>
      <c r="G330" s="63"/>
      <c r="H330" s="4"/>
      <c r="I330" s="280"/>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row>
    <row r="331" spans="1:34" ht="25.5">
      <c r="A331" s="294" t="s">
        <v>619</v>
      </c>
      <c r="B331" s="58"/>
      <c r="C331" s="58"/>
      <c r="D331" s="58"/>
      <c r="E331" s="58"/>
      <c r="F331" s="77"/>
      <c r="G331" s="63"/>
      <c r="H331" s="4"/>
      <c r="I331" s="280"/>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row>
    <row r="332" spans="1:34">
      <c r="A332" s="172" t="s">
        <v>486</v>
      </c>
      <c r="B332" s="58"/>
      <c r="C332" s="58"/>
      <c r="D332" s="58"/>
      <c r="E332" s="58"/>
      <c r="F332" s="77"/>
      <c r="G332" s="63"/>
      <c r="H332" s="4"/>
      <c r="I332" s="280"/>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row>
    <row r="333" spans="1:34" ht="38.25">
      <c r="A333" s="294" t="s">
        <v>582</v>
      </c>
      <c r="B333" s="58"/>
      <c r="C333" s="58"/>
      <c r="D333" s="58"/>
      <c r="E333" s="58"/>
      <c r="F333" s="77"/>
      <c r="G333" s="63"/>
      <c r="H333" s="4"/>
      <c r="I333" s="280"/>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row>
    <row r="334" spans="1:34">
      <c r="A334" s="172" t="s">
        <v>588</v>
      </c>
      <c r="B334" s="58"/>
      <c r="C334" s="58"/>
      <c r="D334" s="58"/>
      <c r="E334" s="58"/>
      <c r="F334" s="77"/>
      <c r="G334" s="63"/>
      <c r="H334" s="4"/>
      <c r="I334" s="280"/>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row>
    <row r="335" spans="1:34" ht="25.5">
      <c r="A335" s="294" t="s">
        <v>620</v>
      </c>
      <c r="B335" s="58"/>
      <c r="C335" s="58"/>
      <c r="D335" s="58"/>
      <c r="E335" s="58"/>
      <c r="F335" s="77"/>
      <c r="G335" s="63"/>
      <c r="H335" s="4"/>
      <c r="I335" s="280"/>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row>
    <row r="336" spans="1:34">
      <c r="A336" s="277" t="s">
        <v>8</v>
      </c>
      <c r="B336" s="277"/>
      <c r="C336" s="277"/>
      <c r="D336" s="277"/>
      <c r="E336" s="277"/>
      <c r="F336" s="277"/>
      <c r="G336" s="307"/>
      <c r="H336" s="307"/>
      <c r="I336" s="307"/>
      <c r="J336" s="308">
        <v>326847</v>
      </c>
      <c r="K336" s="308">
        <f>SUM(K286:K335)</f>
        <v>0</v>
      </c>
      <c r="L336" s="308">
        <f>SUM(L286:L335)</f>
        <v>0</v>
      </c>
      <c r="M336" s="308">
        <v>3655</v>
      </c>
      <c r="N336" s="308">
        <f>SUM(N286:N335)</f>
        <v>0</v>
      </c>
      <c r="O336" s="308">
        <v>326874</v>
      </c>
      <c r="P336" s="308"/>
      <c r="Q336" s="308">
        <f>SUM(Q286:Q335)</f>
        <v>0</v>
      </c>
      <c r="R336" s="308">
        <f>SUM(R286:R335)</f>
        <v>0</v>
      </c>
      <c r="S336" s="308">
        <v>3440</v>
      </c>
      <c r="T336" s="308">
        <f>SUM(T286:T335)</f>
        <v>0</v>
      </c>
      <c r="U336" s="308">
        <v>483849</v>
      </c>
      <c r="V336" s="308">
        <v>477382</v>
      </c>
      <c r="W336" s="308">
        <f>SUM(W286:W335)</f>
        <v>0</v>
      </c>
      <c r="X336" s="308">
        <f>SUM(X286:X335)</f>
        <v>0</v>
      </c>
      <c r="Y336" s="308">
        <f>SUM(Y286:Y335)</f>
        <v>0</v>
      </c>
      <c r="Z336" s="308">
        <f>SUM(Z286:Z335)</f>
        <v>0</v>
      </c>
      <c r="AA336" s="308">
        <v>477382</v>
      </c>
      <c r="AB336" s="308">
        <v>282765</v>
      </c>
      <c r="AC336" s="308">
        <f>SUM(AC286:AC335)</f>
        <v>0</v>
      </c>
      <c r="AD336" s="308">
        <f>SUM(AD286:AD335)</f>
        <v>0</v>
      </c>
      <c r="AE336" s="308">
        <f>SUM(AE286:AE335)</f>
        <v>0</v>
      </c>
      <c r="AF336" s="308">
        <f>SUM(AF286:AF335)</f>
        <v>0</v>
      </c>
      <c r="AG336" s="308">
        <v>282765</v>
      </c>
      <c r="AH336" s="308">
        <v>1577938</v>
      </c>
    </row>
    <row r="337" spans="1:35" s="442" customFormat="1">
      <c r="A337" s="447" t="s">
        <v>724</v>
      </c>
      <c r="B337" s="447"/>
      <c r="C337" s="447"/>
      <c r="D337" s="447"/>
      <c r="E337" s="447"/>
      <c r="F337" s="447"/>
      <c r="G337" s="447"/>
      <c r="H337" s="447"/>
      <c r="I337" s="447"/>
      <c r="J337" s="872">
        <f>SUM(J287:J335)</f>
        <v>323723.93</v>
      </c>
      <c r="K337" s="872">
        <f t="shared" ref="K337:AI337" si="27">SUM(K287:K335)</f>
        <v>0</v>
      </c>
      <c r="L337" s="872">
        <f t="shared" si="27"/>
        <v>0</v>
      </c>
      <c r="M337" s="872">
        <f>SUM(M287:M335)</f>
        <v>3655.1844843897802</v>
      </c>
      <c r="N337" s="872">
        <f t="shared" si="27"/>
        <v>0</v>
      </c>
      <c r="O337" s="872">
        <f>SUM(O287:O335)</f>
        <v>327379.11448438978</v>
      </c>
      <c r="P337" s="872">
        <f>SUM(P287:P335)</f>
        <v>483849</v>
      </c>
      <c r="Q337" s="872">
        <f t="shared" si="27"/>
        <v>0</v>
      </c>
      <c r="R337" s="872">
        <f t="shared" si="27"/>
        <v>0</v>
      </c>
      <c r="S337" s="872">
        <f>SUM(S287:S335)</f>
        <v>3440.1844843897802</v>
      </c>
      <c r="T337" s="872">
        <f t="shared" si="27"/>
        <v>0</v>
      </c>
      <c r="U337" s="872">
        <f>SUM(U287:U335)</f>
        <v>487289.18448438979</v>
      </c>
      <c r="V337" s="872">
        <f>SUM(V287:V335)</f>
        <v>477382.3</v>
      </c>
      <c r="W337" s="872">
        <f t="shared" si="27"/>
        <v>0</v>
      </c>
      <c r="X337" s="872">
        <f t="shared" si="27"/>
        <v>0</v>
      </c>
      <c r="Y337" s="872">
        <f t="shared" si="27"/>
        <v>0</v>
      </c>
      <c r="Z337" s="872">
        <f t="shared" si="27"/>
        <v>0</v>
      </c>
      <c r="AA337" s="872">
        <f t="shared" si="27"/>
        <v>477382.3</v>
      </c>
      <c r="AB337" s="872">
        <f t="shared" si="27"/>
        <v>282765.3</v>
      </c>
      <c r="AC337" s="872">
        <f t="shared" si="27"/>
        <v>0</v>
      </c>
      <c r="AD337" s="872">
        <f t="shared" si="27"/>
        <v>0</v>
      </c>
      <c r="AE337" s="872">
        <f t="shared" si="27"/>
        <v>0</v>
      </c>
      <c r="AF337" s="872">
        <f t="shared" si="27"/>
        <v>0</v>
      </c>
      <c r="AG337" s="872">
        <f t="shared" si="27"/>
        <v>282765.3</v>
      </c>
      <c r="AH337" s="872">
        <f>SUM(AG337+AA337+U337+O337)</f>
        <v>1574815.8989687795</v>
      </c>
      <c r="AI337" s="873">
        <f t="shared" si="27"/>
        <v>0</v>
      </c>
    </row>
    <row r="338" spans="1:35" s="874" customFormat="1">
      <c r="J338" s="875"/>
      <c r="K338" s="875"/>
      <c r="L338" s="875"/>
      <c r="M338" s="875"/>
      <c r="N338" s="875"/>
      <c r="O338" s="875"/>
      <c r="P338" s="875"/>
      <c r="Q338" s="875"/>
      <c r="R338" s="875"/>
      <c r="S338" s="875"/>
      <c r="T338" s="875"/>
      <c r="U338" s="875"/>
      <c r="V338" s="875"/>
      <c r="W338" s="875"/>
      <c r="X338" s="875"/>
      <c r="Y338" s="875"/>
      <c r="Z338" s="875"/>
      <c r="AA338" s="875"/>
      <c r="AB338" s="875"/>
      <c r="AC338" s="875"/>
      <c r="AD338" s="875"/>
      <c r="AE338" s="875"/>
      <c r="AF338" s="875"/>
      <c r="AG338" s="875"/>
      <c r="AH338" s="875"/>
      <c r="AI338" s="875"/>
    </row>
    <row r="339" spans="1:35" s="874" customFormat="1">
      <c r="J339" s="875"/>
      <c r="K339" s="875"/>
      <c r="L339" s="875"/>
      <c r="M339" s="875"/>
      <c r="N339" s="875"/>
      <c r="O339" s="875"/>
      <c r="P339" s="875"/>
      <c r="Q339" s="875"/>
      <c r="R339" s="875"/>
      <c r="S339" s="875"/>
      <c r="T339" s="875"/>
      <c r="U339" s="875"/>
      <c r="V339" s="875"/>
      <c r="W339" s="875"/>
      <c r="X339" s="875"/>
      <c r="Y339" s="875"/>
      <c r="Z339" s="875"/>
      <c r="AA339" s="875"/>
      <c r="AB339" s="875"/>
      <c r="AC339" s="875"/>
      <c r="AD339" s="875"/>
      <c r="AE339" s="875"/>
      <c r="AF339" s="875"/>
      <c r="AG339" s="875"/>
      <c r="AH339" s="875"/>
      <c r="AI339" s="875"/>
    </row>
    <row r="342" spans="1:35">
      <c r="O342" s="401">
        <f>SUM(J337:N337)</f>
        <v>327379.11448438978</v>
      </c>
      <c r="U342" s="401">
        <f>SUM(P337:T337)</f>
        <v>487289.18448438979</v>
      </c>
      <c r="AA342" s="401">
        <f>SUM(V337:Z337)</f>
        <v>477382.3</v>
      </c>
      <c r="AG342" s="401">
        <f>SUM(AB337:AF337)</f>
        <v>282765.3</v>
      </c>
    </row>
    <row r="344" spans="1:35">
      <c r="A344" s="442" t="s">
        <v>693</v>
      </c>
      <c r="AH344" s="443">
        <f>SUM(AH337+AJ277+AJ213+AJ187+AJ133+AJ93+AJ66+AK30)</f>
        <v>27651550.620488778</v>
      </c>
    </row>
    <row r="345" spans="1:35">
      <c r="L345" s="335"/>
      <c r="M345" s="480" t="s">
        <v>1</v>
      </c>
      <c r="N345" s="480" t="s">
        <v>9</v>
      </c>
      <c r="O345" s="480" t="s">
        <v>218</v>
      </c>
      <c r="P345" s="480" t="s">
        <v>17</v>
      </c>
      <c r="Q345" s="480" t="s">
        <v>19</v>
      </c>
      <c r="R345" s="480" t="s">
        <v>18</v>
      </c>
    </row>
    <row r="346" spans="1:35">
      <c r="L346" s="501">
        <v>2013</v>
      </c>
      <c r="M346" s="500">
        <f>SUM(L30+L66+L93+L133+L187+L213+L277+J337)</f>
        <v>7472395.6159999995</v>
      </c>
      <c r="N346" s="500">
        <f>SUM(M30+M66+M93+M133+M187+M213+M277+K337)</f>
        <v>0</v>
      </c>
      <c r="O346" s="500">
        <f>SUM(N30+N66+N93+N133+N187+N213+N277+L337)</f>
        <v>0</v>
      </c>
      <c r="P346" s="500">
        <f>SUM(O30+O66+O93+O133+O187+O213+O277+M337)</f>
        <v>23555.184484389782</v>
      </c>
      <c r="Q346" s="500">
        <f>SUM(P30+P66+P93+P133+P187+P213+P277+N337)</f>
        <v>500</v>
      </c>
      <c r="R346" s="502">
        <f>SUM(M346:Q346)</f>
        <v>7496450.8004843891</v>
      </c>
    </row>
    <row r="347" spans="1:35">
      <c r="L347" s="501">
        <v>2014</v>
      </c>
      <c r="M347" s="500">
        <f>SUM(R30+R66+R93+R133+R187+R213+R277+P337)</f>
        <v>8196106.8660000004</v>
      </c>
      <c r="N347" s="500">
        <f>SUM(S30+S66+S93+S133+S187+S213+S277+Q337)</f>
        <v>0</v>
      </c>
      <c r="O347" s="500">
        <f>SUM(T30+T66+T93+T133+T187+T213+T277+R337)</f>
        <v>0</v>
      </c>
      <c r="P347" s="500">
        <f>SUM(U30+U66+U93+U133+U187+U213+U277+S337)</f>
        <v>14940.18448438978</v>
      </c>
      <c r="Q347" s="500">
        <f>SUM(V30+V66+V93+V133+V187+V213+V277+T337)</f>
        <v>500</v>
      </c>
      <c r="R347" s="502">
        <f>SUM(M347:Q347)</f>
        <v>8211547.05048439</v>
      </c>
      <c r="AG347" s="447" t="s">
        <v>694</v>
      </c>
      <c r="AH347" s="443">
        <f>AH344+'Annex A'!I69</f>
        <v>63651033.342831776</v>
      </c>
    </row>
    <row r="348" spans="1:35">
      <c r="L348" s="501">
        <v>2015</v>
      </c>
      <c r="M348" s="500">
        <f>SUM(X30+X66+X93+X133+X187+X213+X277+V337)</f>
        <v>6255859.1362199998</v>
      </c>
      <c r="N348" s="500">
        <f>SUM(Y30+Y66+Y93+Y133+Y187+Y213+Y277+W337)</f>
        <v>0</v>
      </c>
      <c r="O348" s="500">
        <f>SUM(Z30+Z66+Z93+Z133+Z187+Z213+Z277+X337)</f>
        <v>0</v>
      </c>
      <c r="P348" s="500">
        <f>SUM(AA30+AA66+AA93+AA133+AA187+AA213+AA277+Y337)</f>
        <v>20500</v>
      </c>
      <c r="Q348" s="500">
        <f>SUM(AB30+AB66+AB93+AB133+AB187+AB213+AB277+Z337)</f>
        <v>500</v>
      </c>
      <c r="R348" s="502">
        <f>SUM(M348:Q348)</f>
        <v>6276859.1362199998</v>
      </c>
      <c r="AG348" t="s">
        <v>695</v>
      </c>
    </row>
    <row r="349" spans="1:35">
      <c r="L349" s="501">
        <v>2016</v>
      </c>
      <c r="M349" s="500">
        <f>SUM(AD30+AD66+AD93+AD133+AD187+AD213+AD277+AB337)</f>
        <v>5623693.6332999999</v>
      </c>
      <c r="N349" s="500">
        <f>SUM(AE30+AE66+AE93+AE133+AE187+AE213+AE277+AC337)</f>
        <v>0</v>
      </c>
      <c r="O349" s="500">
        <f>SUM(AF30+AF66+AF93+AF133+AF187+AF213+AF277+AD337)</f>
        <v>10000</v>
      </c>
      <c r="P349" s="500">
        <f>SUM(AG30+AG66+AG93+AG133+AG187+AG213+AG277+AE337)</f>
        <v>32500</v>
      </c>
      <c r="Q349" s="500">
        <f>SUM(AH30+AH66+AH93+AH133+AH187+AH213+AH277+AF337)</f>
        <v>500</v>
      </c>
      <c r="R349" s="502">
        <f>SUM(M349:Q349)</f>
        <v>5666693.6332999999</v>
      </c>
      <c r="AG349" t="s">
        <v>696</v>
      </c>
    </row>
    <row r="350" spans="1:35">
      <c r="L350" s="501" t="s">
        <v>18</v>
      </c>
      <c r="M350" s="500">
        <f>SUM(M346:M349)</f>
        <v>27548055.25152</v>
      </c>
      <c r="N350" s="500">
        <f>SUM(N346:N349)</f>
        <v>0</v>
      </c>
      <c r="O350" s="500">
        <f>SUM(O346:O349)</f>
        <v>10000</v>
      </c>
      <c r="P350" s="500">
        <f>SUM(P346:P349)</f>
        <v>91495.36896877957</v>
      </c>
      <c r="Q350" s="500">
        <f>SUM(Q346:Q349)</f>
        <v>2000</v>
      </c>
      <c r="R350" s="502">
        <f>SUM(M350:Q350)</f>
        <v>27651550.620488781</v>
      </c>
    </row>
    <row r="351" spans="1:35">
      <c r="R351" s="503">
        <f>SUM(R346:R349)</f>
        <v>27651550.620488778</v>
      </c>
    </row>
    <row r="353" spans="18:18">
      <c r="R353" s="487">
        <f>R350-AH344</f>
        <v>0</v>
      </c>
    </row>
  </sheetData>
  <mergeCells count="223">
    <mergeCell ref="X98:AC98"/>
    <mergeCell ref="AD98:AH98"/>
    <mergeCell ref="D97:D99"/>
    <mergeCell ref="E97:E99"/>
    <mergeCell ref="F97:G97"/>
    <mergeCell ref="H97:H99"/>
    <mergeCell ref="A128:J128"/>
    <mergeCell ref="A110:E110"/>
    <mergeCell ref="A111:J111"/>
    <mergeCell ref="A112:J112"/>
    <mergeCell ref="A113:J113"/>
    <mergeCell ref="A120:J120"/>
    <mergeCell ref="A121:D121"/>
    <mergeCell ref="A122:J122"/>
    <mergeCell ref="A124:J124"/>
    <mergeCell ref="A125:J125"/>
    <mergeCell ref="A126:J126"/>
    <mergeCell ref="W86:W89"/>
    <mergeCell ref="X86:X89"/>
    <mergeCell ref="Y86:Y89"/>
    <mergeCell ref="Z86:Z89"/>
    <mergeCell ref="AA86:AA89"/>
    <mergeCell ref="A104:D104"/>
    <mergeCell ref="A105:D105"/>
    <mergeCell ref="K97:K99"/>
    <mergeCell ref="L97:AH97"/>
    <mergeCell ref="A98:A99"/>
    <mergeCell ref="F98:F99"/>
    <mergeCell ref="I97:I99"/>
    <mergeCell ref="J97:J99"/>
    <mergeCell ref="U86:U89"/>
    <mergeCell ref="A101:E101"/>
    <mergeCell ref="A102:E102"/>
    <mergeCell ref="A103:J103"/>
    <mergeCell ref="P86:P89"/>
    <mergeCell ref="T86:T89"/>
    <mergeCell ref="D86:D87"/>
    <mergeCell ref="E86:E89"/>
    <mergeCell ref="G98:G99"/>
    <mergeCell ref="L98:Q98"/>
    <mergeCell ref="R98:W98"/>
    <mergeCell ref="F70:G70"/>
    <mergeCell ref="H70:H72"/>
    <mergeCell ref="F71:F72"/>
    <mergeCell ref="AD71:AH71"/>
    <mergeCell ref="AD86:AD89"/>
    <mergeCell ref="AB86:AB89"/>
    <mergeCell ref="AC86:AC89"/>
    <mergeCell ref="L86:L89"/>
    <mergeCell ref="AE86:AE89"/>
    <mergeCell ref="AF86:AF89"/>
    <mergeCell ref="Q86:Q89"/>
    <mergeCell ref="F86:F89"/>
    <mergeCell ref="G86:G89"/>
    <mergeCell ref="I86:I89"/>
    <mergeCell ref="J86:J89"/>
    <mergeCell ref="L70:AH70"/>
    <mergeCell ref="R86:R89"/>
    <mergeCell ref="S86:S89"/>
    <mergeCell ref="L71:Q71"/>
    <mergeCell ref="R71:W71"/>
    <mergeCell ref="X71:AC71"/>
    <mergeCell ref="AG86:AG89"/>
    <mergeCell ref="AH86:AH89"/>
    <mergeCell ref="V86:V89"/>
    <mergeCell ref="AG53:AG55"/>
    <mergeCell ref="AH53:AH55"/>
    <mergeCell ref="AA53:AA55"/>
    <mergeCell ref="AB53:AB55"/>
    <mergeCell ref="AC53:AC55"/>
    <mergeCell ref="AD53:AD55"/>
    <mergeCell ref="AE53:AE55"/>
    <mergeCell ref="G71:G72"/>
    <mergeCell ref="K86:K89"/>
    <mergeCell ref="K70:K72"/>
    <mergeCell ref="U53:U55"/>
    <mergeCell ref="V53:V55"/>
    <mergeCell ref="W53:W55"/>
    <mergeCell ref="B69:I69"/>
    <mergeCell ref="G53:G55"/>
    <mergeCell ref="H53:H55"/>
    <mergeCell ref="B64:B65"/>
    <mergeCell ref="D88:D89"/>
    <mergeCell ref="I70:I72"/>
    <mergeCell ref="M86:M89"/>
    <mergeCell ref="N86:N89"/>
    <mergeCell ref="O86:O89"/>
    <mergeCell ref="J70:J72"/>
    <mergeCell ref="E70:E72"/>
    <mergeCell ref="O53:O55"/>
    <mergeCell ref="P53:P55"/>
    <mergeCell ref="Q53:Q55"/>
    <mergeCell ref="E53:E55"/>
    <mergeCell ref="F53:F55"/>
    <mergeCell ref="AF53:AF55"/>
    <mergeCell ref="R53:R55"/>
    <mergeCell ref="S53:S55"/>
    <mergeCell ref="T53:T55"/>
    <mergeCell ref="I53:I55"/>
    <mergeCell ref="J53:J55"/>
    <mergeCell ref="K53:K55"/>
    <mergeCell ref="L53:L55"/>
    <mergeCell ref="M53:M55"/>
    <mergeCell ref="N53:N55"/>
    <mergeCell ref="X53:X55"/>
    <mergeCell ref="Y53:Y55"/>
    <mergeCell ref="Z53:Z55"/>
    <mergeCell ref="R32:W32"/>
    <mergeCell ref="X32:AC32"/>
    <mergeCell ref="AD32:AH32"/>
    <mergeCell ref="R33:W33"/>
    <mergeCell ref="X33:AC33"/>
    <mergeCell ref="K4:K6"/>
    <mergeCell ref="L4:AH4"/>
    <mergeCell ref="F5:F6"/>
    <mergeCell ref="G5:G6"/>
    <mergeCell ref="L5:Q5"/>
    <mergeCell ref="R5:W5"/>
    <mergeCell ref="X5:AC5"/>
    <mergeCell ref="AD5:AH5"/>
    <mergeCell ref="H4:H6"/>
    <mergeCell ref="I32:I34"/>
    <mergeCell ref="L33:Q33"/>
    <mergeCell ref="AD33:AH33"/>
    <mergeCell ref="J32:J34"/>
    <mergeCell ref="K32:K34"/>
    <mergeCell ref="L32:Q32"/>
    <mergeCell ref="R138:W138"/>
    <mergeCell ref="I137:I139"/>
    <mergeCell ref="J137:J139"/>
    <mergeCell ref="A137:A139"/>
    <mergeCell ref="B137:B139"/>
    <mergeCell ref="C137:C139"/>
    <mergeCell ref="D137:D139"/>
    <mergeCell ref="E137:E139"/>
    <mergeCell ref="F137:G137"/>
    <mergeCell ref="F138:F139"/>
    <mergeCell ref="G138:G139"/>
    <mergeCell ref="A2:B3"/>
    <mergeCell ref="A4:A6"/>
    <mergeCell ref="D4:D6"/>
    <mergeCell ref="E4:E6"/>
    <mergeCell ref="F4:G4"/>
    <mergeCell ref="A206:I206"/>
    <mergeCell ref="A195:E195"/>
    <mergeCell ref="A196:E196"/>
    <mergeCell ref="A197:J197"/>
    <mergeCell ref="A198:D198"/>
    <mergeCell ref="D45:D46"/>
    <mergeCell ref="A70:A72"/>
    <mergeCell ref="D70:D72"/>
    <mergeCell ref="I4:I6"/>
    <mergeCell ref="J4:J6"/>
    <mergeCell ref="A31:D31"/>
    <mergeCell ref="A32:A34"/>
    <mergeCell ref="B32:B34"/>
    <mergeCell ref="C32:C34"/>
    <mergeCell ref="D32:D34"/>
    <mergeCell ref="D53:D55"/>
    <mergeCell ref="E32:E34"/>
    <mergeCell ref="F32:G33"/>
    <mergeCell ref="H32:H34"/>
    <mergeCell ref="A192:A193"/>
    <mergeCell ref="F192:F193"/>
    <mergeCell ref="G192:G193"/>
    <mergeCell ref="R192:W192"/>
    <mergeCell ref="J191:J193"/>
    <mergeCell ref="K191:K193"/>
    <mergeCell ref="L192:Q192"/>
    <mergeCell ref="X138:AC138"/>
    <mergeCell ref="AD138:AH138"/>
    <mergeCell ref="H137:H139"/>
    <mergeCell ref="X137:AC137"/>
    <mergeCell ref="AD137:AH137"/>
    <mergeCell ref="K137:K139"/>
    <mergeCell ref="X192:AC192"/>
    <mergeCell ref="D191:D193"/>
    <mergeCell ref="E191:E193"/>
    <mergeCell ref="F191:G191"/>
    <mergeCell ref="H191:H193"/>
    <mergeCell ref="I191:I193"/>
    <mergeCell ref="L191:AH191"/>
    <mergeCell ref="AD192:AH192"/>
    <mergeCell ref="L137:Q137"/>
    <mergeCell ref="R137:W137"/>
    <mergeCell ref="L138:Q138"/>
    <mergeCell ref="A207:A209"/>
    <mergeCell ref="A217:J217"/>
    <mergeCell ref="A219:A221"/>
    <mergeCell ref="D219:D221"/>
    <mergeCell ref="E219:E221"/>
    <mergeCell ref="F219:G219"/>
    <mergeCell ref="H219:H221"/>
    <mergeCell ref="I219:I221"/>
    <mergeCell ref="J219:J221"/>
    <mergeCell ref="A223:D223"/>
    <mergeCell ref="A224:J224"/>
    <mergeCell ref="K219:K221"/>
    <mergeCell ref="L219:AH219"/>
    <mergeCell ref="F220:F221"/>
    <mergeCell ref="G220:G221"/>
    <mergeCell ref="L220:Q220"/>
    <mergeCell ref="R220:W220"/>
    <mergeCell ref="X220:AC220"/>
    <mergeCell ref="AD220:AH220"/>
    <mergeCell ref="A282:A284"/>
    <mergeCell ref="B282:B284"/>
    <mergeCell ref="C282:C284"/>
    <mergeCell ref="D282:E282"/>
    <mergeCell ref="F282:F284"/>
    <mergeCell ref="G282:G284"/>
    <mergeCell ref="D283:D284"/>
    <mergeCell ref="E283:E284"/>
    <mergeCell ref="AB283:AG283"/>
    <mergeCell ref="H282:H284"/>
    <mergeCell ref="I282:I284"/>
    <mergeCell ref="J282:O282"/>
    <mergeCell ref="P282:U282"/>
    <mergeCell ref="V282:AA282"/>
    <mergeCell ref="AB282:AG282"/>
    <mergeCell ref="J283:O283"/>
    <mergeCell ref="P283:U283"/>
    <mergeCell ref="V283:AA283"/>
  </mergeCells>
  <pageMargins left="0.7" right="0.7" top="0.75" bottom="0.75" header="0.3" footer="0.3"/>
  <pageSetup scale="63" orientation="landscape" r:id="rId1"/>
  <rowBreaks count="12" manualBreakCount="12">
    <brk id="10" max="16383" man="1"/>
    <brk id="13" max="16383" man="1"/>
    <brk id="16" max="16383" man="1"/>
    <brk id="20" max="16383" man="1"/>
    <brk id="29" max="35" man="1"/>
    <brk id="66" max="16383" man="1"/>
    <brk id="81" max="35" man="1"/>
    <brk id="94" max="35" man="1"/>
    <brk id="133" max="16383" man="1"/>
    <brk id="187" max="16383" man="1"/>
    <brk id="214" max="16383" man="1"/>
    <brk id="278"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dimension ref="A1:F24"/>
  <sheetViews>
    <sheetView workbookViewId="0">
      <selection activeCell="D30" sqref="D30"/>
    </sheetView>
  </sheetViews>
  <sheetFormatPr defaultRowHeight="15"/>
  <cols>
    <col min="1" max="1" width="10.85546875" bestFit="1" customWidth="1"/>
    <col min="6" max="6" width="19.42578125" customWidth="1"/>
  </cols>
  <sheetData>
    <row r="1" spans="1:6">
      <c r="A1" s="96"/>
      <c r="B1" s="96"/>
      <c r="C1" s="96"/>
      <c r="D1" s="96"/>
      <c r="E1" s="96"/>
      <c r="F1" s="398">
        <f>SUM(A1:E1)</f>
        <v>0</v>
      </c>
    </row>
    <row r="2" spans="1:6">
      <c r="A2" s="96"/>
      <c r="B2" s="96"/>
      <c r="C2" s="96"/>
      <c r="D2" s="96"/>
      <c r="E2" s="96"/>
      <c r="F2" s="398">
        <f t="shared" ref="F2:F19" si="0">SUM(A2:E2)</f>
        <v>0</v>
      </c>
    </row>
    <row r="3" spans="1:6">
      <c r="A3" s="96"/>
      <c r="B3" s="96"/>
      <c r="C3" s="96"/>
      <c r="D3" s="96"/>
      <c r="E3" s="96"/>
      <c r="F3" s="398">
        <f t="shared" si="0"/>
        <v>0</v>
      </c>
    </row>
    <row r="4" spans="1:6">
      <c r="A4" s="96"/>
      <c r="B4" s="96"/>
      <c r="C4" s="96"/>
      <c r="D4" s="96"/>
      <c r="E4" s="96"/>
      <c r="F4" s="398">
        <f t="shared" si="0"/>
        <v>0</v>
      </c>
    </row>
    <row r="5" spans="1:6">
      <c r="A5" s="96"/>
      <c r="B5" s="96"/>
      <c r="C5" s="96"/>
      <c r="D5" s="96"/>
      <c r="E5" s="96"/>
      <c r="F5" s="398">
        <f t="shared" si="0"/>
        <v>0</v>
      </c>
    </row>
    <row r="6" spans="1:6">
      <c r="A6" s="113"/>
      <c r="B6" s="113"/>
      <c r="C6" s="113"/>
      <c r="D6" s="113"/>
      <c r="E6" s="113"/>
      <c r="F6" s="398">
        <f t="shared" si="0"/>
        <v>0</v>
      </c>
    </row>
    <row r="7" spans="1:6">
      <c r="A7" s="360">
        <v>30084</v>
      </c>
      <c r="B7" s="113"/>
      <c r="C7" s="113"/>
      <c r="D7" s="113"/>
      <c r="E7" s="113"/>
      <c r="F7" s="398">
        <f>SUM(A7:E7)</f>
        <v>30084</v>
      </c>
    </row>
    <row r="8" spans="1:6">
      <c r="A8" s="113"/>
      <c r="B8" s="113"/>
      <c r="C8" s="113"/>
      <c r="D8" s="113"/>
      <c r="E8" s="113"/>
      <c r="F8" s="398">
        <f t="shared" si="0"/>
        <v>0</v>
      </c>
    </row>
    <row r="9" spans="1:6">
      <c r="A9" s="113"/>
      <c r="B9" s="113"/>
      <c r="C9" s="113"/>
      <c r="D9" s="113"/>
      <c r="E9" s="113"/>
      <c r="F9" s="398">
        <f t="shared" si="0"/>
        <v>0</v>
      </c>
    </row>
    <row r="10" spans="1:6">
      <c r="A10" s="113"/>
      <c r="B10" s="113"/>
      <c r="C10" s="113"/>
      <c r="D10" s="113"/>
      <c r="E10" s="113"/>
      <c r="F10" s="398">
        <f t="shared" si="0"/>
        <v>0</v>
      </c>
    </row>
    <row r="11" spans="1:6">
      <c r="A11" s="360">
        <v>26400</v>
      </c>
      <c r="B11" s="113"/>
      <c r="C11" s="113"/>
      <c r="D11" s="113"/>
      <c r="E11" s="113"/>
      <c r="F11" s="398">
        <f>SUM(A11:E11)</f>
        <v>26400</v>
      </c>
    </row>
    <row r="12" spans="1:6">
      <c r="A12" s="362">
        <v>54220</v>
      </c>
      <c r="B12" s="115"/>
      <c r="C12" s="115"/>
      <c r="D12" s="115"/>
      <c r="E12" s="115"/>
      <c r="F12" s="398">
        <f t="shared" si="0"/>
        <v>54220</v>
      </c>
    </row>
    <row r="13" spans="1:6">
      <c r="A13" s="115"/>
      <c r="B13" s="115"/>
      <c r="C13" s="115"/>
      <c r="D13" s="115"/>
      <c r="E13" s="115"/>
      <c r="F13" s="398">
        <f t="shared" si="0"/>
        <v>0</v>
      </c>
    </row>
    <row r="14" spans="1:6">
      <c r="A14" s="115"/>
      <c r="B14" s="115"/>
      <c r="C14" s="115"/>
      <c r="D14" s="115"/>
      <c r="E14" s="115"/>
      <c r="F14" s="398">
        <f t="shared" si="0"/>
        <v>0</v>
      </c>
    </row>
    <row r="15" spans="1:6">
      <c r="A15" s="362">
        <v>18000</v>
      </c>
      <c r="B15" s="115"/>
      <c r="C15" s="115"/>
      <c r="D15" s="115"/>
      <c r="E15" s="115"/>
      <c r="F15" s="398">
        <f t="shared" si="0"/>
        <v>18000</v>
      </c>
    </row>
    <row r="16" spans="1:6">
      <c r="A16" s="362">
        <v>250000</v>
      </c>
      <c r="B16" s="115"/>
      <c r="C16" s="115"/>
      <c r="D16" s="115"/>
      <c r="E16" s="115"/>
      <c r="F16" s="398">
        <f t="shared" si="0"/>
        <v>250000</v>
      </c>
    </row>
    <row r="17" spans="1:6">
      <c r="A17" s="115"/>
      <c r="B17" s="115"/>
      <c r="C17" s="115"/>
      <c r="D17" s="115"/>
      <c r="E17" s="115"/>
      <c r="F17" s="398">
        <f t="shared" si="0"/>
        <v>0</v>
      </c>
    </row>
    <row r="18" spans="1:6">
      <c r="A18" s="115"/>
      <c r="B18" s="115"/>
      <c r="C18" s="115"/>
      <c r="D18" s="115"/>
      <c r="E18" s="115"/>
      <c r="F18" s="398">
        <f t="shared" si="0"/>
        <v>0</v>
      </c>
    </row>
    <row r="19" spans="1:6">
      <c r="A19" s="115">
        <v>74.599999999999994</v>
      </c>
      <c r="B19" s="115"/>
      <c r="C19" s="115"/>
      <c r="D19" s="115"/>
      <c r="E19" s="115"/>
      <c r="F19" s="398">
        <f t="shared" si="0"/>
        <v>74.599999999999994</v>
      </c>
    </row>
    <row r="21" spans="1:6">
      <c r="A21" s="498">
        <f t="shared" ref="A21:F21" si="1">SUM(A1:A19)</f>
        <v>378778.6</v>
      </c>
      <c r="B21" s="497">
        <f t="shared" si="1"/>
        <v>0</v>
      </c>
      <c r="C21" s="497">
        <f t="shared" si="1"/>
        <v>0</v>
      </c>
      <c r="D21" s="497">
        <f t="shared" si="1"/>
        <v>0</v>
      </c>
      <c r="E21" s="497">
        <f t="shared" si="1"/>
        <v>0</v>
      </c>
      <c r="F21" s="497">
        <f t="shared" si="1"/>
        <v>378778.6</v>
      </c>
    </row>
    <row r="22" spans="1:6">
      <c r="A22" s="498"/>
    </row>
    <row r="23" spans="1:6">
      <c r="A23" s="498">
        <v>453</v>
      </c>
    </row>
    <row r="24" spans="1:6">
      <c r="A24" s="498">
        <f>A23-A21</f>
        <v>-378325.6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AK364"/>
  <sheetViews>
    <sheetView topLeftCell="G326" zoomScale="65" zoomScaleNormal="65" workbookViewId="0">
      <selection activeCell="X351" sqref="X351"/>
    </sheetView>
  </sheetViews>
  <sheetFormatPr defaultRowHeight="15"/>
  <cols>
    <col min="1" max="1" width="30.7109375" customWidth="1"/>
    <col min="2" max="2" width="15" customWidth="1"/>
    <col min="3" max="3" width="15.85546875" customWidth="1"/>
    <col min="4" max="4" width="14" customWidth="1"/>
    <col min="5" max="5" width="14.85546875" customWidth="1"/>
    <col min="6" max="6" width="13.140625" style="562" customWidth="1"/>
    <col min="7" max="7" width="13.85546875" style="562" customWidth="1"/>
    <col min="8" max="8" width="13.28515625" hidden="1" customWidth="1"/>
    <col min="9" max="9" width="16.42578125" hidden="1" customWidth="1"/>
    <col min="10" max="10" width="13.85546875" hidden="1" customWidth="1"/>
    <col min="11" max="11" width="13.140625" hidden="1" customWidth="1"/>
    <col min="12" max="12" width="22.42578125" customWidth="1"/>
    <col min="13" max="13" width="17.28515625" customWidth="1"/>
    <col min="14" max="14" width="13.7109375" customWidth="1"/>
    <col min="15" max="15" width="12.42578125" customWidth="1"/>
    <col min="16" max="16" width="12.7109375" customWidth="1"/>
    <col min="17" max="17" width="21.5703125" style="562" customWidth="1"/>
    <col min="18" max="18" width="21.28515625" customWidth="1"/>
    <col min="19" max="19" width="18.5703125" customWidth="1"/>
    <col min="20" max="20" width="14.85546875" customWidth="1"/>
    <col min="21" max="21" width="16.28515625" customWidth="1"/>
    <col min="22" max="22" width="14.85546875" customWidth="1"/>
    <col min="23" max="23" width="21.42578125" style="562" customWidth="1"/>
    <col min="24" max="24" width="18.85546875" customWidth="1"/>
    <col min="27" max="27" width="12.7109375" customWidth="1"/>
    <col min="28" max="28" width="14.140625" customWidth="1"/>
    <col min="29" max="29" width="18.28515625" style="562" customWidth="1"/>
    <col min="30" max="30" width="17.42578125" customWidth="1"/>
    <col min="31" max="32" width="9.140625" customWidth="1"/>
    <col min="33" max="33" width="13.85546875" customWidth="1"/>
    <col min="34" max="34" width="20.42578125" customWidth="1"/>
    <col min="35" max="35" width="17.42578125" style="562" customWidth="1"/>
    <col min="36" max="36" width="18.5703125" customWidth="1"/>
    <col min="37" max="37" width="17.5703125" customWidth="1"/>
  </cols>
  <sheetData>
    <row r="2" spans="1:36" s="82" customFormat="1" ht="15.75">
      <c r="A2" s="470" t="s">
        <v>209</v>
      </c>
      <c r="B2" s="470"/>
      <c r="C2" s="104"/>
      <c r="D2" s="104"/>
      <c r="E2" s="104"/>
      <c r="F2" s="505"/>
      <c r="G2" s="505"/>
      <c r="H2" s="104"/>
      <c r="I2" s="104"/>
      <c r="J2" s="104"/>
      <c r="K2" s="104"/>
      <c r="L2" s="104"/>
      <c r="M2" s="104"/>
      <c r="N2" s="104"/>
      <c r="O2" s="104"/>
      <c r="P2" s="104"/>
      <c r="Q2" s="505"/>
      <c r="R2" s="104"/>
      <c r="S2" s="104"/>
      <c r="T2" s="104"/>
      <c r="U2" s="104"/>
      <c r="V2" s="104"/>
      <c r="W2" s="505"/>
      <c r="X2" s="104"/>
      <c r="Y2" s="104"/>
      <c r="Z2" s="104"/>
      <c r="AA2" s="104"/>
      <c r="AB2" s="104"/>
      <c r="AC2" s="505"/>
      <c r="AD2" s="104"/>
      <c r="AE2" s="104"/>
      <c r="AF2" s="104"/>
      <c r="AG2" s="104"/>
      <c r="AH2" s="104"/>
      <c r="AI2" s="642"/>
    </row>
    <row r="3" spans="1:36" s="82" customFormat="1" ht="15.75">
      <c r="A3" s="471"/>
      <c r="B3" s="471"/>
      <c r="C3" s="104"/>
      <c r="D3" s="104"/>
      <c r="E3" s="104"/>
      <c r="F3" s="505"/>
      <c r="G3" s="505"/>
      <c r="H3" s="104"/>
      <c r="I3" s="104"/>
      <c r="J3" s="104"/>
      <c r="K3" s="104"/>
      <c r="L3" s="104"/>
      <c r="M3" s="104"/>
      <c r="N3" s="104"/>
      <c r="O3" s="104"/>
      <c r="P3" s="104"/>
      <c r="Q3" s="505"/>
      <c r="R3" s="104"/>
      <c r="S3" s="104"/>
      <c r="T3" s="104"/>
      <c r="U3" s="104"/>
      <c r="V3" s="104"/>
      <c r="W3" s="505"/>
      <c r="X3" s="104"/>
      <c r="Y3" s="104"/>
      <c r="Z3" s="104"/>
      <c r="AA3" s="104"/>
      <c r="AB3" s="104"/>
      <c r="AC3" s="505"/>
      <c r="AD3" s="104"/>
      <c r="AE3" s="104"/>
      <c r="AF3" s="104"/>
      <c r="AG3" s="104"/>
      <c r="AH3" s="104"/>
      <c r="AI3" s="642"/>
    </row>
    <row r="4" spans="1:36" s="82" customFormat="1" ht="15.75" customHeight="1">
      <c r="A4" s="1084"/>
      <c r="B4" s="462"/>
      <c r="C4" s="462"/>
      <c r="D4" s="1084" t="s">
        <v>0</v>
      </c>
      <c r="E4" s="1084" t="s">
        <v>210</v>
      </c>
      <c r="F4" s="1188" t="s">
        <v>5</v>
      </c>
      <c r="G4" s="1189"/>
      <c r="H4" s="1084" t="s">
        <v>22</v>
      </c>
      <c r="I4" s="1084" t="s">
        <v>211</v>
      </c>
      <c r="J4" s="1084" t="s">
        <v>212</v>
      </c>
      <c r="K4" s="1084" t="s">
        <v>213</v>
      </c>
      <c r="L4" s="1087" t="s">
        <v>214</v>
      </c>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642"/>
    </row>
    <row r="5" spans="1:36" s="82" customFormat="1" ht="47.25">
      <c r="A5" s="1085"/>
      <c r="B5" s="463" t="s">
        <v>215</v>
      </c>
      <c r="C5" s="463" t="s">
        <v>216</v>
      </c>
      <c r="D5" s="1085"/>
      <c r="E5" s="1085"/>
      <c r="F5" s="1182" t="s">
        <v>217</v>
      </c>
      <c r="G5" s="1182" t="s">
        <v>6</v>
      </c>
      <c r="H5" s="1085"/>
      <c r="I5" s="1085"/>
      <c r="J5" s="1085"/>
      <c r="K5" s="1085"/>
      <c r="L5" s="1091" t="s">
        <v>12</v>
      </c>
      <c r="M5" s="1092"/>
      <c r="N5" s="1092"/>
      <c r="O5" s="1092"/>
      <c r="P5" s="1092"/>
      <c r="Q5" s="1093"/>
      <c r="R5" s="1091" t="s">
        <v>13</v>
      </c>
      <c r="S5" s="1092"/>
      <c r="T5" s="1092"/>
      <c r="U5" s="1092"/>
      <c r="V5" s="1092"/>
      <c r="W5" s="1093"/>
      <c r="X5" s="1091" t="s">
        <v>14</v>
      </c>
      <c r="Y5" s="1092"/>
      <c r="Z5" s="1092"/>
      <c r="AA5" s="1092"/>
      <c r="AB5" s="1092"/>
      <c r="AC5" s="1093"/>
      <c r="AD5" s="1091" t="s">
        <v>15</v>
      </c>
      <c r="AE5" s="1092"/>
      <c r="AF5" s="1092"/>
      <c r="AG5" s="1092"/>
      <c r="AH5" s="1093"/>
      <c r="AI5" s="643" t="s">
        <v>688</v>
      </c>
      <c r="AJ5" s="315" t="s">
        <v>689</v>
      </c>
    </row>
    <row r="6" spans="1:36" s="82" customFormat="1" ht="25.5">
      <c r="A6" s="1086"/>
      <c r="B6" s="464"/>
      <c r="C6" s="464"/>
      <c r="D6" s="1086"/>
      <c r="E6" s="1086"/>
      <c r="F6" s="1183"/>
      <c r="G6" s="1183"/>
      <c r="H6" s="1086"/>
      <c r="I6" s="1086"/>
      <c r="J6" s="1086"/>
      <c r="K6" s="1086"/>
      <c r="L6" s="96" t="s">
        <v>1</v>
      </c>
      <c r="M6" s="96" t="s">
        <v>9</v>
      </c>
      <c r="N6" s="96" t="s">
        <v>218</v>
      </c>
      <c r="O6" s="96" t="s">
        <v>17</v>
      </c>
      <c r="P6" s="96" t="s">
        <v>19</v>
      </c>
      <c r="Q6" s="564" t="s">
        <v>4</v>
      </c>
      <c r="R6" s="96" t="s">
        <v>1</v>
      </c>
      <c r="S6" s="96" t="s">
        <v>2</v>
      </c>
      <c r="T6" s="96" t="s">
        <v>219</v>
      </c>
      <c r="U6" s="96" t="s">
        <v>17</v>
      </c>
      <c r="V6" s="96" t="s">
        <v>19</v>
      </c>
      <c r="W6" s="564" t="s">
        <v>4</v>
      </c>
      <c r="X6" s="96" t="s">
        <v>1</v>
      </c>
      <c r="Y6" s="96" t="s">
        <v>9</v>
      </c>
      <c r="Z6" s="96" t="s">
        <v>218</v>
      </c>
      <c r="AA6" s="96" t="s">
        <v>17</v>
      </c>
      <c r="AB6" s="96" t="s">
        <v>19</v>
      </c>
      <c r="AC6" s="564" t="s">
        <v>4</v>
      </c>
      <c r="AD6" s="96" t="s">
        <v>1</v>
      </c>
      <c r="AE6" s="96" t="s">
        <v>9</v>
      </c>
      <c r="AF6" s="96" t="s">
        <v>219</v>
      </c>
      <c r="AG6" s="96" t="s">
        <v>17</v>
      </c>
      <c r="AH6" s="96" t="s">
        <v>19</v>
      </c>
      <c r="AI6" s="644"/>
      <c r="AJ6" s="316"/>
    </row>
    <row r="7" spans="1:36" s="82" customFormat="1" ht="15.75">
      <c r="A7" s="464"/>
      <c r="B7" s="464" t="s">
        <v>33</v>
      </c>
      <c r="C7" s="464" t="s">
        <v>34</v>
      </c>
      <c r="D7" s="464" t="s">
        <v>45</v>
      </c>
      <c r="E7" s="466" t="s">
        <v>220</v>
      </c>
      <c r="F7" s="506" t="s">
        <v>36</v>
      </c>
      <c r="G7" s="506" t="s">
        <v>37</v>
      </c>
      <c r="H7" s="464" t="s">
        <v>38</v>
      </c>
      <c r="I7" s="464" t="s">
        <v>39</v>
      </c>
      <c r="J7" s="96" t="s">
        <v>40</v>
      </c>
      <c r="K7" s="96" t="s">
        <v>41</v>
      </c>
      <c r="L7" s="96" t="s">
        <v>221</v>
      </c>
      <c r="M7" s="96" t="s">
        <v>222</v>
      </c>
      <c r="N7" s="96" t="s">
        <v>223</v>
      </c>
      <c r="O7" s="96" t="s">
        <v>224</v>
      </c>
      <c r="P7" s="96" t="s">
        <v>225</v>
      </c>
      <c r="Q7" s="564" t="s">
        <v>226</v>
      </c>
      <c r="R7" s="96" t="s">
        <v>227</v>
      </c>
      <c r="S7" s="96" t="s">
        <v>228</v>
      </c>
      <c r="T7" s="96" t="s">
        <v>229</v>
      </c>
      <c r="U7" s="96" t="s">
        <v>230</v>
      </c>
      <c r="V7" s="96" t="s">
        <v>231</v>
      </c>
      <c r="W7" s="564" t="s">
        <v>232</v>
      </c>
      <c r="X7" s="96" t="s">
        <v>233</v>
      </c>
      <c r="Y7" s="96" t="s">
        <v>234</v>
      </c>
      <c r="Z7" s="96" t="s">
        <v>235</v>
      </c>
      <c r="AA7" s="96" t="s">
        <v>236</v>
      </c>
      <c r="AB7" s="96" t="s">
        <v>237</v>
      </c>
      <c r="AC7" s="564" t="s">
        <v>238</v>
      </c>
      <c r="AD7" s="96" t="s">
        <v>239</v>
      </c>
      <c r="AE7" s="96" t="s">
        <v>240</v>
      </c>
      <c r="AF7" s="96" t="s">
        <v>241</v>
      </c>
      <c r="AG7" s="96" t="s">
        <v>242</v>
      </c>
      <c r="AH7" s="96" t="s">
        <v>243</v>
      </c>
      <c r="AI7" s="644"/>
      <c r="AJ7" s="313"/>
    </row>
    <row r="8" spans="1:36" s="82" customFormat="1" ht="25.5">
      <c r="A8" s="90" t="s">
        <v>244</v>
      </c>
      <c r="B8" s="468"/>
      <c r="C8" s="468"/>
      <c r="D8" s="109"/>
      <c r="E8" s="468"/>
      <c r="F8" s="507"/>
      <c r="G8" s="507"/>
      <c r="H8" s="109"/>
      <c r="I8" s="468"/>
      <c r="J8" s="468"/>
      <c r="K8" s="468"/>
      <c r="L8" s="96"/>
      <c r="M8" s="96"/>
      <c r="N8" s="96"/>
      <c r="O8" s="96"/>
      <c r="P8" s="96"/>
      <c r="Q8" s="564"/>
      <c r="R8" s="96"/>
      <c r="S8" s="96"/>
      <c r="T8" s="96"/>
      <c r="U8" s="96"/>
      <c r="V8" s="96"/>
      <c r="W8" s="564"/>
      <c r="X8" s="96"/>
      <c r="Y8" s="96"/>
      <c r="Z8" s="96"/>
      <c r="AA8" s="96"/>
      <c r="AB8" s="96"/>
      <c r="AC8" s="564"/>
      <c r="AD8" s="96"/>
      <c r="AE8" s="96"/>
      <c r="AF8" s="96"/>
      <c r="AG8" s="96"/>
      <c r="AH8" s="96"/>
      <c r="AI8" s="644"/>
      <c r="AJ8" s="313"/>
    </row>
    <row r="9" spans="1:36" s="82" customFormat="1" ht="267.75">
      <c r="A9" s="4" t="s">
        <v>245</v>
      </c>
      <c r="B9" s="458"/>
      <c r="C9" s="468"/>
      <c r="D9" s="468" t="s">
        <v>209</v>
      </c>
      <c r="E9" s="468"/>
      <c r="F9" s="508" t="s">
        <v>697</v>
      </c>
      <c r="G9" s="507"/>
      <c r="H9" s="468" t="s">
        <v>309</v>
      </c>
      <c r="I9" s="468" t="s">
        <v>246</v>
      </c>
      <c r="J9" s="468" t="s">
        <v>247</v>
      </c>
      <c r="K9" s="468"/>
      <c r="L9" s="96"/>
      <c r="M9" s="96"/>
      <c r="N9" s="96"/>
      <c r="O9" s="96"/>
      <c r="P9" s="96"/>
      <c r="Q9" s="608">
        <f>SUM(L9:P9)</f>
        <v>0</v>
      </c>
      <c r="R9" s="96"/>
      <c r="S9" s="96"/>
      <c r="T9" s="96"/>
      <c r="U9" s="96"/>
      <c r="V9" s="96"/>
      <c r="W9" s="565">
        <f>SUM(R9:V9)</f>
        <v>0</v>
      </c>
      <c r="X9" s="96"/>
      <c r="Y9" s="96"/>
      <c r="Z9" s="96"/>
      <c r="AA9" s="96"/>
      <c r="AB9" s="96"/>
      <c r="AC9" s="565">
        <f>SUM(X9:AB9)</f>
        <v>0</v>
      </c>
      <c r="AD9" s="96"/>
      <c r="AE9" s="96"/>
      <c r="AF9" s="96"/>
      <c r="AG9" s="96"/>
      <c r="AH9" s="96"/>
      <c r="AI9" s="645">
        <f>SUM(AD9:AH9)</f>
        <v>0</v>
      </c>
      <c r="AJ9" s="313"/>
    </row>
    <row r="10" spans="1:36" s="82" customFormat="1" ht="153">
      <c r="A10" s="4" t="s">
        <v>248</v>
      </c>
      <c r="B10" s="468"/>
      <c r="C10" s="468"/>
      <c r="D10" s="468" t="s">
        <v>209</v>
      </c>
      <c r="E10" s="468"/>
      <c r="F10" s="508" t="s">
        <v>697</v>
      </c>
      <c r="G10" s="507"/>
      <c r="H10" s="468"/>
      <c r="I10" s="468" t="s">
        <v>249</v>
      </c>
      <c r="J10" s="468" t="s">
        <v>247</v>
      </c>
      <c r="K10" s="468"/>
      <c r="L10" s="96"/>
      <c r="M10" s="96"/>
      <c r="N10" s="96"/>
      <c r="O10" s="96"/>
      <c r="P10" s="96"/>
      <c r="Q10" s="608">
        <f t="shared" ref="Q10:Q27" si="0">SUM(L10:P10)</f>
        <v>0</v>
      </c>
      <c r="R10" s="96"/>
      <c r="S10" s="96"/>
      <c r="T10" s="96"/>
      <c r="U10" s="96"/>
      <c r="V10" s="96"/>
      <c r="W10" s="565">
        <f t="shared" ref="W10:W26" si="1">SUM(R10:V10)</f>
        <v>0</v>
      </c>
      <c r="X10" s="96"/>
      <c r="Y10" s="96"/>
      <c r="Z10" s="96"/>
      <c r="AA10" s="96"/>
      <c r="AB10" s="96"/>
      <c r="AC10" s="565">
        <f t="shared" ref="AC10:AC27" si="2">SUM(X10:AB10)</f>
        <v>0</v>
      </c>
      <c r="AD10" s="96"/>
      <c r="AE10" s="96"/>
      <c r="AF10" s="96"/>
      <c r="AG10" s="96"/>
      <c r="AH10" s="96"/>
      <c r="AI10" s="645">
        <f t="shared" ref="AI10:AI27" si="3">SUM(AD10:AH10)</f>
        <v>0</v>
      </c>
      <c r="AJ10" s="313"/>
    </row>
    <row r="11" spans="1:36" s="82" customFormat="1" ht="165.75">
      <c r="A11" s="4" t="s">
        <v>393</v>
      </c>
      <c r="B11" s="468"/>
      <c r="C11" s="468"/>
      <c r="D11" s="468" t="s">
        <v>209</v>
      </c>
      <c r="E11" s="468"/>
      <c r="F11" s="508" t="s">
        <v>697</v>
      </c>
      <c r="G11" s="507"/>
      <c r="H11" s="468" t="s">
        <v>309</v>
      </c>
      <c r="I11" s="468" t="s">
        <v>249</v>
      </c>
      <c r="J11" s="468" t="s">
        <v>250</v>
      </c>
      <c r="K11" s="468"/>
      <c r="L11" s="96"/>
      <c r="M11" s="96"/>
      <c r="N11" s="96"/>
      <c r="O11" s="96"/>
      <c r="P11" s="96"/>
      <c r="Q11" s="608">
        <f t="shared" si="0"/>
        <v>0</v>
      </c>
      <c r="R11" s="96"/>
      <c r="S11" s="96"/>
      <c r="T11" s="96"/>
      <c r="U11" s="96"/>
      <c r="V11" s="96"/>
      <c r="W11" s="565">
        <f t="shared" si="1"/>
        <v>0</v>
      </c>
      <c r="X11" s="96"/>
      <c r="Y11" s="96"/>
      <c r="Z11" s="96"/>
      <c r="AA11" s="96"/>
      <c r="AB11" s="96"/>
      <c r="AC11" s="565">
        <f t="shared" si="2"/>
        <v>0</v>
      </c>
      <c r="AD11" s="96"/>
      <c r="AE11" s="96"/>
      <c r="AF11" s="96"/>
      <c r="AG11" s="96"/>
      <c r="AH11" s="96"/>
      <c r="AI11" s="645">
        <f t="shared" si="3"/>
        <v>0</v>
      </c>
      <c r="AJ11" s="313"/>
    </row>
    <row r="12" spans="1:36" s="82" customFormat="1" ht="178.5">
      <c r="A12" s="4" t="s">
        <v>394</v>
      </c>
      <c r="B12" s="468"/>
      <c r="C12" s="468"/>
      <c r="D12" s="468" t="s">
        <v>209</v>
      </c>
      <c r="E12" s="468"/>
      <c r="F12" s="508" t="s">
        <v>697</v>
      </c>
      <c r="G12" s="507"/>
      <c r="H12" s="468"/>
      <c r="I12" s="468" t="s">
        <v>249</v>
      </c>
      <c r="J12" s="468" t="s">
        <v>251</v>
      </c>
      <c r="K12" s="468"/>
      <c r="L12" s="96"/>
      <c r="M12" s="96"/>
      <c r="N12" s="96"/>
      <c r="O12" s="96"/>
      <c r="P12" s="96"/>
      <c r="Q12" s="608">
        <f t="shared" si="0"/>
        <v>0</v>
      </c>
      <c r="R12" s="96"/>
      <c r="S12" s="96"/>
      <c r="T12" s="96"/>
      <c r="U12" s="96"/>
      <c r="V12" s="96"/>
      <c r="W12" s="565">
        <f t="shared" si="1"/>
        <v>0</v>
      </c>
      <c r="X12" s="96"/>
      <c r="Y12" s="96"/>
      <c r="Z12" s="96"/>
      <c r="AA12" s="96"/>
      <c r="AB12" s="96"/>
      <c r="AC12" s="565">
        <f t="shared" si="2"/>
        <v>0</v>
      </c>
      <c r="AD12" s="96"/>
      <c r="AE12" s="96"/>
      <c r="AF12" s="96"/>
      <c r="AG12" s="96"/>
      <c r="AH12" s="96"/>
      <c r="AI12" s="645">
        <f t="shared" si="3"/>
        <v>0</v>
      </c>
      <c r="AJ12" s="313"/>
    </row>
    <row r="13" spans="1:36" s="82" customFormat="1" ht="409.5">
      <c r="A13" s="4" t="s">
        <v>252</v>
      </c>
      <c r="B13" s="468"/>
      <c r="C13" s="468"/>
      <c r="D13" s="468" t="s">
        <v>209</v>
      </c>
      <c r="E13" s="468" t="s">
        <v>70</v>
      </c>
      <c r="F13" s="508" t="s">
        <v>697</v>
      </c>
      <c r="G13" s="507"/>
      <c r="H13" s="468" t="s">
        <v>309</v>
      </c>
      <c r="I13" s="468" t="s">
        <v>249</v>
      </c>
      <c r="J13" s="468"/>
      <c r="K13" s="468"/>
      <c r="L13" s="96"/>
      <c r="M13" s="96"/>
      <c r="N13" s="96"/>
      <c r="O13" s="96"/>
      <c r="P13" s="96"/>
      <c r="Q13" s="608">
        <f t="shared" si="0"/>
        <v>0</v>
      </c>
      <c r="R13" s="96"/>
      <c r="S13" s="96"/>
      <c r="T13" s="96"/>
      <c r="U13" s="96"/>
      <c r="V13" s="96"/>
      <c r="W13" s="565">
        <f t="shared" si="1"/>
        <v>0</v>
      </c>
      <c r="X13" s="96"/>
      <c r="Y13" s="96"/>
      <c r="Z13" s="96"/>
      <c r="AA13" s="96"/>
      <c r="AB13" s="96"/>
      <c r="AC13" s="565">
        <f t="shared" si="2"/>
        <v>0</v>
      </c>
      <c r="AD13" s="96"/>
      <c r="AE13" s="96"/>
      <c r="AF13" s="96"/>
      <c r="AG13" s="96"/>
      <c r="AH13" s="96"/>
      <c r="AI13" s="645">
        <f t="shared" si="3"/>
        <v>0</v>
      </c>
      <c r="AJ13" s="313"/>
    </row>
    <row r="14" spans="1:36" s="82" customFormat="1" ht="15.75">
      <c r="A14" s="4" t="s">
        <v>253</v>
      </c>
      <c r="B14" s="468"/>
      <c r="C14" s="468"/>
      <c r="D14" s="468"/>
      <c r="E14" s="468"/>
      <c r="F14" s="507"/>
      <c r="G14" s="507"/>
      <c r="H14" s="468"/>
      <c r="I14" s="468"/>
      <c r="J14" s="468"/>
      <c r="K14" s="112"/>
      <c r="L14" s="113"/>
      <c r="M14" s="113"/>
      <c r="N14" s="113"/>
      <c r="O14" s="113"/>
      <c r="P14" s="113"/>
      <c r="Q14" s="608">
        <f t="shared" si="0"/>
        <v>0</v>
      </c>
      <c r="R14" s="113"/>
      <c r="S14" s="113"/>
      <c r="T14" s="113"/>
      <c r="U14" s="113"/>
      <c r="V14" s="113"/>
      <c r="W14" s="565">
        <f t="shared" si="1"/>
        <v>0</v>
      </c>
      <c r="X14" s="113"/>
      <c r="Y14" s="113"/>
      <c r="Z14" s="113"/>
      <c r="AA14" s="113"/>
      <c r="AB14" s="113"/>
      <c r="AC14" s="565">
        <f t="shared" si="2"/>
        <v>0</v>
      </c>
      <c r="AD14" s="113"/>
      <c r="AE14" s="113"/>
      <c r="AF14" s="113"/>
      <c r="AG14" s="113"/>
      <c r="AH14" s="113"/>
      <c r="AI14" s="645">
        <f t="shared" si="3"/>
        <v>0</v>
      </c>
      <c r="AJ14" s="313"/>
    </row>
    <row r="15" spans="1:36" s="82" customFormat="1" ht="382.5">
      <c r="A15" s="4" t="s">
        <v>254</v>
      </c>
      <c r="B15" s="468"/>
      <c r="C15" s="468"/>
      <c r="D15" s="468" t="s">
        <v>209</v>
      </c>
      <c r="E15" s="104" t="s">
        <v>75</v>
      </c>
      <c r="F15" s="508" t="s">
        <v>697</v>
      </c>
      <c r="G15" s="507"/>
      <c r="H15" s="468" t="s">
        <v>156</v>
      </c>
      <c r="I15" s="468"/>
      <c r="J15" s="468"/>
      <c r="K15" s="468"/>
      <c r="L15" s="360">
        <v>28000</v>
      </c>
      <c r="M15" s="113"/>
      <c r="N15" s="113"/>
      <c r="O15" s="113"/>
      <c r="P15" s="113"/>
      <c r="Q15" s="608">
        <f t="shared" si="0"/>
        <v>28000</v>
      </c>
      <c r="R15" s="360">
        <v>30084</v>
      </c>
      <c r="S15" s="113"/>
      <c r="T15" s="113"/>
      <c r="U15" s="113"/>
      <c r="V15" s="113"/>
      <c r="W15" s="565">
        <f>SUM(R15:V15)</f>
        <v>30084</v>
      </c>
      <c r="X15" s="113"/>
      <c r="Y15" s="113"/>
      <c r="Z15" s="113"/>
      <c r="AA15" s="113"/>
      <c r="AB15" s="113"/>
      <c r="AC15" s="565">
        <f t="shared" si="2"/>
        <v>0</v>
      </c>
      <c r="AD15" s="113"/>
      <c r="AE15" s="113"/>
      <c r="AF15" s="113"/>
      <c r="AG15" s="113"/>
      <c r="AH15" s="113"/>
      <c r="AI15" s="645">
        <f t="shared" si="3"/>
        <v>0</v>
      </c>
      <c r="AJ15" s="313"/>
    </row>
    <row r="16" spans="1:36" s="82" customFormat="1" ht="409.5">
      <c r="A16" s="4" t="s">
        <v>255</v>
      </c>
      <c r="B16" s="468"/>
      <c r="C16" s="468"/>
      <c r="D16" s="468" t="s">
        <v>209</v>
      </c>
      <c r="E16" s="468" t="s">
        <v>256</v>
      </c>
      <c r="F16" s="508" t="s">
        <v>697</v>
      </c>
      <c r="G16" s="507"/>
      <c r="H16" s="468" t="s">
        <v>309</v>
      </c>
      <c r="I16" s="468" t="s">
        <v>249</v>
      </c>
      <c r="J16" s="468"/>
      <c r="K16" s="468"/>
      <c r="L16" s="113"/>
      <c r="M16" s="113"/>
      <c r="N16" s="113"/>
      <c r="O16" s="113"/>
      <c r="P16" s="113"/>
      <c r="Q16" s="608">
        <f t="shared" si="0"/>
        <v>0</v>
      </c>
      <c r="R16" s="113"/>
      <c r="S16" s="113"/>
      <c r="T16" s="113"/>
      <c r="U16" s="113"/>
      <c r="V16" s="113"/>
      <c r="W16" s="565">
        <f t="shared" si="1"/>
        <v>0</v>
      </c>
      <c r="X16" s="113"/>
      <c r="Y16" s="113"/>
      <c r="Z16" s="113"/>
      <c r="AA16" s="113"/>
      <c r="AB16" s="113"/>
      <c r="AC16" s="565">
        <f t="shared" si="2"/>
        <v>0</v>
      </c>
      <c r="AD16" s="113"/>
      <c r="AE16" s="113"/>
      <c r="AF16" s="113"/>
      <c r="AG16" s="113"/>
      <c r="AH16" s="113"/>
      <c r="AI16" s="645">
        <f t="shared" si="3"/>
        <v>0</v>
      </c>
      <c r="AJ16" s="313"/>
    </row>
    <row r="17" spans="1:37" s="82" customFormat="1" ht="15.75">
      <c r="A17" s="4" t="s">
        <v>253</v>
      </c>
      <c r="B17" s="468"/>
      <c r="C17" s="468"/>
      <c r="D17" s="468"/>
      <c r="E17" s="468"/>
      <c r="F17" s="508"/>
      <c r="G17" s="507"/>
      <c r="H17" s="468"/>
      <c r="I17" s="468"/>
      <c r="J17" s="468"/>
      <c r="K17" s="468"/>
      <c r="L17" s="113"/>
      <c r="M17" s="113"/>
      <c r="N17" s="113"/>
      <c r="O17" s="113"/>
      <c r="P17" s="113"/>
      <c r="Q17" s="608">
        <f t="shared" si="0"/>
        <v>0</v>
      </c>
      <c r="R17" s="113"/>
      <c r="S17" s="113"/>
      <c r="T17" s="113"/>
      <c r="U17" s="113"/>
      <c r="V17" s="113"/>
      <c r="W17" s="565">
        <f t="shared" si="1"/>
        <v>0</v>
      </c>
      <c r="X17" s="113"/>
      <c r="Y17" s="113"/>
      <c r="Z17" s="113"/>
      <c r="AA17" s="113"/>
      <c r="AB17" s="113"/>
      <c r="AC17" s="565">
        <f t="shared" si="2"/>
        <v>0</v>
      </c>
      <c r="AD17" s="113"/>
      <c r="AE17" s="113"/>
      <c r="AF17" s="113"/>
      <c r="AG17" s="113"/>
      <c r="AH17" s="113"/>
      <c r="AI17" s="645">
        <f t="shared" si="3"/>
        <v>0</v>
      </c>
      <c r="AJ17" s="313"/>
    </row>
    <row r="18" spans="1:37" s="82" customFormat="1" ht="331.5">
      <c r="A18" s="4" t="s">
        <v>257</v>
      </c>
      <c r="B18" s="468"/>
      <c r="C18" s="468"/>
      <c r="D18" s="468" t="s">
        <v>209</v>
      </c>
      <c r="E18" s="468" t="s">
        <v>258</v>
      </c>
      <c r="F18" s="508" t="s">
        <v>697</v>
      </c>
      <c r="G18" s="507"/>
      <c r="H18" s="468"/>
      <c r="I18" s="468"/>
      <c r="J18" s="468"/>
      <c r="K18" s="468"/>
      <c r="L18" s="113"/>
      <c r="M18" s="113"/>
      <c r="N18" s="113"/>
      <c r="O18" s="113"/>
      <c r="P18" s="113"/>
      <c r="Q18" s="608">
        <f t="shared" si="0"/>
        <v>0</v>
      </c>
      <c r="R18" s="113"/>
      <c r="S18" s="113"/>
      <c r="T18" s="113"/>
      <c r="U18" s="113"/>
      <c r="V18" s="113"/>
      <c r="W18" s="565">
        <f t="shared" si="1"/>
        <v>0</v>
      </c>
      <c r="X18" s="360">
        <f>1060*1000</f>
        <v>1060000</v>
      </c>
      <c r="Y18" s="113"/>
      <c r="Z18" s="113"/>
      <c r="AA18" s="113"/>
      <c r="AB18" s="113"/>
      <c r="AC18" s="565">
        <f t="shared" si="2"/>
        <v>1060000</v>
      </c>
      <c r="AD18" s="113"/>
      <c r="AE18" s="113"/>
      <c r="AF18" s="113"/>
      <c r="AG18" s="113"/>
      <c r="AH18" s="113"/>
      <c r="AI18" s="645">
        <f t="shared" si="3"/>
        <v>0</v>
      </c>
      <c r="AJ18" s="313"/>
    </row>
    <row r="19" spans="1:37" s="82" customFormat="1" ht="89.25">
      <c r="A19" s="4" t="s">
        <v>259</v>
      </c>
      <c r="B19" s="468"/>
      <c r="C19" s="468"/>
      <c r="D19" s="468" t="s">
        <v>209</v>
      </c>
      <c r="E19" s="468" t="s">
        <v>260</v>
      </c>
      <c r="F19" s="508" t="s">
        <v>697</v>
      </c>
      <c r="G19" s="507"/>
      <c r="H19" s="468"/>
      <c r="I19" s="468"/>
      <c r="J19" s="468"/>
      <c r="K19" s="468"/>
      <c r="L19" s="360">
        <v>16600</v>
      </c>
      <c r="M19" s="113"/>
      <c r="N19" s="113"/>
      <c r="O19" s="113"/>
      <c r="P19" s="113"/>
      <c r="Q19" s="608">
        <f t="shared" si="0"/>
        <v>16600</v>
      </c>
      <c r="R19" s="360">
        <v>26400</v>
      </c>
      <c r="S19" s="113"/>
      <c r="T19" s="113"/>
      <c r="U19" s="113"/>
      <c r="V19" s="113"/>
      <c r="W19" s="565">
        <f>SUM(R19:V19)</f>
        <v>26400</v>
      </c>
      <c r="X19" s="361">
        <v>123650</v>
      </c>
      <c r="Y19" s="113"/>
      <c r="Z19" s="113"/>
      <c r="AA19" s="113"/>
      <c r="AB19" s="113"/>
      <c r="AC19" s="565">
        <f t="shared" si="2"/>
        <v>123650</v>
      </c>
      <c r="AD19" s="360">
        <v>358550</v>
      </c>
      <c r="AE19" s="113"/>
      <c r="AF19" s="113"/>
      <c r="AG19" s="113"/>
      <c r="AH19" s="113"/>
      <c r="AI19" s="645">
        <f t="shared" si="3"/>
        <v>358550</v>
      </c>
      <c r="AJ19" s="313"/>
    </row>
    <row r="20" spans="1:37" s="82" customFormat="1" ht="204">
      <c r="A20" s="4" t="s">
        <v>261</v>
      </c>
      <c r="B20" s="468"/>
      <c r="C20" s="468"/>
      <c r="D20" s="468" t="s">
        <v>209</v>
      </c>
      <c r="E20" s="468" t="s">
        <v>262</v>
      </c>
      <c r="F20" s="508" t="s">
        <v>697</v>
      </c>
      <c r="G20" s="507"/>
      <c r="H20" s="468"/>
      <c r="I20" s="468"/>
      <c r="J20" s="468"/>
      <c r="K20" s="468"/>
      <c r="L20" s="114"/>
      <c r="M20" s="115"/>
      <c r="N20" s="115"/>
      <c r="O20" s="115"/>
      <c r="P20" s="115"/>
      <c r="Q20" s="608">
        <f t="shared" si="0"/>
        <v>0</v>
      </c>
      <c r="R20" s="362">
        <v>54220</v>
      </c>
      <c r="S20" s="115"/>
      <c r="T20" s="115"/>
      <c r="U20" s="115"/>
      <c r="V20" s="115"/>
      <c r="W20" s="565">
        <f t="shared" si="1"/>
        <v>54220</v>
      </c>
      <c r="X20" s="362">
        <v>19720</v>
      </c>
      <c r="Y20" s="115"/>
      <c r="Z20" s="115"/>
      <c r="AA20" s="115"/>
      <c r="AB20" s="115"/>
      <c r="AC20" s="565">
        <f t="shared" si="2"/>
        <v>19720</v>
      </c>
      <c r="AD20" s="362">
        <v>44400</v>
      </c>
      <c r="AE20" s="115"/>
      <c r="AF20" s="115"/>
      <c r="AG20" s="115"/>
      <c r="AH20" s="115"/>
      <c r="AI20" s="645">
        <f t="shared" si="3"/>
        <v>44400</v>
      </c>
      <c r="AJ20" s="313"/>
    </row>
    <row r="21" spans="1:37" s="82" customFormat="1" ht="204">
      <c r="A21" s="4" t="s">
        <v>263</v>
      </c>
      <c r="B21" s="468"/>
      <c r="C21" s="468"/>
      <c r="D21" s="468" t="s">
        <v>209</v>
      </c>
      <c r="E21" s="468" t="s">
        <v>264</v>
      </c>
      <c r="F21" s="508" t="s">
        <v>697</v>
      </c>
      <c r="G21" s="507"/>
      <c r="H21" s="468"/>
      <c r="I21" s="468"/>
      <c r="J21" s="468"/>
      <c r="K21" s="468"/>
      <c r="L21" s="115"/>
      <c r="M21" s="115"/>
      <c r="N21" s="115"/>
      <c r="O21" s="115"/>
      <c r="P21" s="115"/>
      <c r="Q21" s="608">
        <f t="shared" si="0"/>
        <v>0</v>
      </c>
      <c r="R21" s="115"/>
      <c r="S21" s="115"/>
      <c r="T21" s="115"/>
      <c r="U21" s="115"/>
      <c r="V21" s="115"/>
      <c r="W21" s="565">
        <f t="shared" si="1"/>
        <v>0</v>
      </c>
      <c r="X21" s="115"/>
      <c r="Y21" s="115"/>
      <c r="Z21" s="115"/>
      <c r="AA21" s="115"/>
      <c r="AB21" s="115"/>
      <c r="AC21" s="565">
        <f t="shared" si="2"/>
        <v>0</v>
      </c>
      <c r="AD21" s="115"/>
      <c r="AE21" s="115"/>
      <c r="AF21" s="115"/>
      <c r="AG21" s="115"/>
      <c r="AH21" s="115"/>
      <c r="AI21" s="645">
        <f t="shared" si="3"/>
        <v>0</v>
      </c>
      <c r="AJ21" s="313"/>
    </row>
    <row r="22" spans="1:37" s="82" customFormat="1" ht="102">
      <c r="A22" s="4" t="s">
        <v>265</v>
      </c>
      <c r="B22" s="468"/>
      <c r="C22" s="468"/>
      <c r="D22" s="468" t="s">
        <v>209</v>
      </c>
      <c r="E22" s="468" t="s">
        <v>266</v>
      </c>
      <c r="F22" s="508" t="s">
        <v>697</v>
      </c>
      <c r="G22" s="507"/>
      <c r="H22" s="468"/>
      <c r="I22" s="468"/>
      <c r="J22" s="468"/>
      <c r="K22" s="468"/>
      <c r="L22" s="115"/>
      <c r="M22" s="115"/>
      <c r="N22" s="115"/>
      <c r="O22" s="115"/>
      <c r="P22" s="115"/>
      <c r="Q22" s="608">
        <f t="shared" si="0"/>
        <v>0</v>
      </c>
      <c r="R22" s="115"/>
      <c r="S22" s="115"/>
      <c r="T22" s="115"/>
      <c r="U22" s="115"/>
      <c r="V22" s="115"/>
      <c r="W22" s="565">
        <f t="shared" si="1"/>
        <v>0</v>
      </c>
      <c r="X22" s="362">
        <v>250000</v>
      </c>
      <c r="Y22" s="115"/>
      <c r="Z22" s="115"/>
      <c r="AA22" s="115"/>
      <c r="AB22" s="115"/>
      <c r="AC22" s="565">
        <f t="shared" si="2"/>
        <v>250000</v>
      </c>
      <c r="AD22" s="362">
        <v>200000</v>
      </c>
      <c r="AE22" s="115"/>
      <c r="AF22" s="115"/>
      <c r="AG22" s="115"/>
      <c r="AH22" s="115"/>
      <c r="AI22" s="645">
        <f t="shared" si="3"/>
        <v>200000</v>
      </c>
      <c r="AJ22" s="313"/>
    </row>
    <row r="23" spans="1:37" s="82" customFormat="1" ht="76.5">
      <c r="A23" s="4" t="s">
        <v>267</v>
      </c>
      <c r="B23" s="468"/>
      <c r="C23" s="468"/>
      <c r="D23" s="468" t="s">
        <v>209</v>
      </c>
      <c r="E23" s="468" t="s">
        <v>268</v>
      </c>
      <c r="F23" s="508" t="s">
        <v>697</v>
      </c>
      <c r="G23" s="507"/>
      <c r="H23" s="468"/>
      <c r="I23" s="468"/>
      <c r="J23" s="468"/>
      <c r="K23" s="468"/>
      <c r="L23" s="115"/>
      <c r="M23" s="115"/>
      <c r="N23" s="115"/>
      <c r="O23" s="115"/>
      <c r="P23" s="115"/>
      <c r="Q23" s="608">
        <f t="shared" si="0"/>
        <v>0</v>
      </c>
      <c r="R23" s="362">
        <v>18000</v>
      </c>
      <c r="S23" s="115"/>
      <c r="T23" s="115"/>
      <c r="U23" s="115"/>
      <c r="V23" s="115"/>
      <c r="W23" s="565">
        <f t="shared" si="1"/>
        <v>18000</v>
      </c>
      <c r="X23" s="362">
        <v>60000</v>
      </c>
      <c r="Y23" s="115"/>
      <c r="Z23" s="115"/>
      <c r="AA23" s="115"/>
      <c r="AB23" s="115"/>
      <c r="AC23" s="565">
        <f t="shared" si="2"/>
        <v>60000</v>
      </c>
      <c r="AD23" s="115"/>
      <c r="AE23" s="115"/>
      <c r="AF23" s="115"/>
      <c r="AG23" s="115"/>
      <c r="AH23" s="115"/>
      <c r="AI23" s="645">
        <f t="shared" si="3"/>
        <v>0</v>
      </c>
      <c r="AJ23" s="313"/>
    </row>
    <row r="24" spans="1:37" s="82" customFormat="1" ht="102">
      <c r="A24" s="4" t="s">
        <v>269</v>
      </c>
      <c r="B24" s="468"/>
      <c r="C24" s="468"/>
      <c r="D24" s="468" t="s">
        <v>209</v>
      </c>
      <c r="E24" s="468" t="s">
        <v>270</v>
      </c>
      <c r="F24" s="508" t="s">
        <v>697</v>
      </c>
      <c r="G24" s="507"/>
      <c r="H24" s="468"/>
      <c r="I24" s="468"/>
      <c r="J24" s="468"/>
      <c r="K24" s="468"/>
      <c r="L24" s="115"/>
      <c r="M24" s="115"/>
      <c r="N24" s="115"/>
      <c r="O24" s="115"/>
      <c r="P24" s="115"/>
      <c r="Q24" s="608">
        <f t="shared" si="0"/>
        <v>0</v>
      </c>
      <c r="R24" s="362">
        <v>250000</v>
      </c>
      <c r="S24" s="115"/>
      <c r="T24" s="115"/>
      <c r="U24" s="115"/>
      <c r="V24" s="115"/>
      <c r="W24" s="565">
        <f t="shared" si="1"/>
        <v>250000</v>
      </c>
      <c r="X24" s="362">
        <v>130000</v>
      </c>
      <c r="Y24" s="115"/>
      <c r="Z24" s="115"/>
      <c r="AA24" s="115"/>
      <c r="AB24" s="115"/>
      <c r="AC24" s="565">
        <f t="shared" si="2"/>
        <v>130000</v>
      </c>
      <c r="AD24" s="115"/>
      <c r="AE24" s="115"/>
      <c r="AF24" s="115"/>
      <c r="AG24" s="115"/>
      <c r="AH24" s="115"/>
      <c r="AI24" s="645">
        <f t="shared" si="3"/>
        <v>0</v>
      </c>
      <c r="AJ24" s="313"/>
    </row>
    <row r="25" spans="1:37" s="82" customFormat="1" ht="102">
      <c r="A25" s="4" t="s">
        <v>271</v>
      </c>
      <c r="B25" s="468"/>
      <c r="C25" s="468"/>
      <c r="D25" s="468" t="s">
        <v>209</v>
      </c>
      <c r="E25" s="468" t="s">
        <v>272</v>
      </c>
      <c r="F25" s="508" t="s">
        <v>697</v>
      </c>
      <c r="G25" s="507"/>
      <c r="H25" s="468"/>
      <c r="I25" s="468"/>
      <c r="J25" s="468"/>
      <c r="K25" s="468"/>
      <c r="L25" s="115"/>
      <c r="M25" s="115"/>
      <c r="N25" s="115"/>
      <c r="O25" s="115"/>
      <c r="P25" s="115"/>
      <c r="Q25" s="608">
        <f t="shared" si="0"/>
        <v>0</v>
      </c>
      <c r="R25" s="115"/>
      <c r="S25" s="115"/>
      <c r="T25" s="115"/>
      <c r="U25" s="115"/>
      <c r="V25" s="115"/>
      <c r="W25" s="565">
        <f t="shared" si="1"/>
        <v>0</v>
      </c>
      <c r="X25" s="115"/>
      <c r="Y25" s="115"/>
      <c r="Z25" s="115"/>
      <c r="AA25" s="115"/>
      <c r="AB25" s="115"/>
      <c r="AC25" s="565">
        <f t="shared" si="2"/>
        <v>0</v>
      </c>
      <c r="AD25" s="362">
        <v>90000</v>
      </c>
      <c r="AE25" s="115"/>
      <c r="AF25" s="115"/>
      <c r="AG25" s="115"/>
      <c r="AH25" s="115"/>
      <c r="AI25" s="645">
        <f t="shared" si="3"/>
        <v>90000</v>
      </c>
      <c r="AJ25" s="313"/>
    </row>
    <row r="26" spans="1:37" s="82" customFormat="1" ht="38.25">
      <c r="A26" s="4" t="s">
        <v>273</v>
      </c>
      <c r="B26" s="468"/>
      <c r="C26" s="468"/>
      <c r="D26" s="468" t="s">
        <v>209</v>
      </c>
      <c r="E26" s="468" t="s">
        <v>274</v>
      </c>
      <c r="F26" s="508" t="s">
        <v>697</v>
      </c>
      <c r="G26" s="507"/>
      <c r="H26" s="468"/>
      <c r="I26" s="468"/>
      <c r="J26" s="468"/>
      <c r="K26" s="468"/>
      <c r="L26" s="115"/>
      <c r="M26" s="115"/>
      <c r="N26" s="115"/>
      <c r="O26" s="115"/>
      <c r="P26" s="115"/>
      <c r="Q26" s="608">
        <f t="shared" si="0"/>
        <v>0</v>
      </c>
      <c r="R26" s="115"/>
      <c r="S26" s="115"/>
      <c r="T26" s="115"/>
      <c r="U26" s="115"/>
      <c r="V26" s="115"/>
      <c r="W26" s="565">
        <f t="shared" si="1"/>
        <v>0</v>
      </c>
      <c r="X26" s="362">
        <v>70000</v>
      </c>
      <c r="Y26" s="115"/>
      <c r="Z26" s="115"/>
      <c r="AA26" s="115"/>
      <c r="AB26" s="115"/>
      <c r="AC26" s="565">
        <f t="shared" si="2"/>
        <v>70000</v>
      </c>
      <c r="AD26" s="115"/>
      <c r="AE26" s="115"/>
      <c r="AF26" s="115"/>
      <c r="AG26" s="115"/>
      <c r="AH26" s="115"/>
      <c r="AI26" s="645">
        <f t="shared" si="3"/>
        <v>0</v>
      </c>
      <c r="AJ26" s="313"/>
    </row>
    <row r="27" spans="1:37" s="82" customFormat="1" ht="38.25">
      <c r="A27" s="4" t="s">
        <v>275</v>
      </c>
      <c r="B27" s="468"/>
      <c r="C27" s="468"/>
      <c r="D27" s="468" t="s">
        <v>209</v>
      </c>
      <c r="E27" s="468"/>
      <c r="F27" s="508" t="s">
        <v>697</v>
      </c>
      <c r="G27" s="507"/>
      <c r="H27" s="468"/>
      <c r="I27" s="468"/>
      <c r="J27" s="468"/>
      <c r="K27" s="468"/>
      <c r="L27" s="362">
        <v>13400</v>
      </c>
      <c r="M27" s="115"/>
      <c r="N27" s="115"/>
      <c r="O27" s="115"/>
      <c r="P27" s="115"/>
      <c r="Q27" s="608">
        <f t="shared" si="0"/>
        <v>13400</v>
      </c>
      <c r="R27" s="499">
        <f>74.6*1000</f>
        <v>74600</v>
      </c>
      <c r="S27" s="115"/>
      <c r="T27" s="115"/>
      <c r="U27" s="115"/>
      <c r="V27" s="115"/>
      <c r="W27" s="565">
        <f>SUM(R27:V27)</f>
        <v>74600</v>
      </c>
      <c r="X27" s="115"/>
      <c r="Y27" s="115"/>
      <c r="Z27" s="115"/>
      <c r="AA27" s="115"/>
      <c r="AB27" s="115"/>
      <c r="AC27" s="565">
        <f t="shared" si="2"/>
        <v>0</v>
      </c>
      <c r="AD27" s="115"/>
      <c r="AE27" s="115"/>
      <c r="AF27" s="115"/>
      <c r="AG27" s="115"/>
      <c r="AH27" s="115"/>
      <c r="AI27" s="645">
        <f t="shared" si="3"/>
        <v>0</v>
      </c>
      <c r="AJ27" s="313"/>
    </row>
    <row r="28" spans="1:37" s="82" customFormat="1" ht="15.75">
      <c r="A28" s="172" t="s">
        <v>276</v>
      </c>
      <c r="B28" s="458"/>
      <c r="C28" s="458"/>
      <c r="D28" s="458"/>
      <c r="E28" s="458"/>
      <c r="F28" s="509"/>
      <c r="G28" s="509"/>
      <c r="H28" s="458"/>
      <c r="I28" s="458"/>
      <c r="J28" s="458"/>
      <c r="K28" s="458"/>
      <c r="L28" s="363">
        <v>58000</v>
      </c>
      <c r="M28" s="177">
        <v>0</v>
      </c>
      <c r="N28" s="177">
        <v>0</v>
      </c>
      <c r="O28" s="177">
        <v>0</v>
      </c>
      <c r="P28" s="177">
        <v>0</v>
      </c>
      <c r="Q28" s="609">
        <v>0</v>
      </c>
      <c r="R28" s="363">
        <v>453280</v>
      </c>
      <c r="S28" s="177">
        <v>0</v>
      </c>
      <c r="T28" s="177">
        <v>0</v>
      </c>
      <c r="U28" s="177">
        <v>0</v>
      </c>
      <c r="V28" s="177">
        <v>0</v>
      </c>
      <c r="W28" s="566">
        <v>0</v>
      </c>
      <c r="X28" s="363">
        <v>1713370</v>
      </c>
      <c r="Y28" s="177">
        <v>0</v>
      </c>
      <c r="Z28" s="177">
        <v>0</v>
      </c>
      <c r="AA28" s="177">
        <v>0</v>
      </c>
      <c r="AB28" s="177">
        <v>0</v>
      </c>
      <c r="AC28" s="566">
        <v>0</v>
      </c>
      <c r="AD28" s="363">
        <v>692950</v>
      </c>
      <c r="AE28" s="177">
        <v>0</v>
      </c>
      <c r="AF28" s="177">
        <v>0</v>
      </c>
      <c r="AG28" s="177">
        <v>0</v>
      </c>
      <c r="AH28" s="177">
        <v>0</v>
      </c>
      <c r="AI28" s="643">
        <v>693</v>
      </c>
      <c r="AJ28" s="317">
        <v>2917580</v>
      </c>
      <c r="AK28" s="387">
        <f>SUM(AD28+X28+R28+L28)</f>
        <v>2917600</v>
      </c>
    </row>
    <row r="29" spans="1:37" s="82" customFormat="1" ht="15.75">
      <c r="A29" s="116"/>
      <c r="B29" s="116"/>
      <c r="C29" s="116"/>
      <c r="D29" s="104"/>
      <c r="E29" s="104"/>
      <c r="F29" s="505"/>
      <c r="G29" s="505"/>
      <c r="H29" s="104"/>
      <c r="I29" s="104"/>
      <c r="J29" s="104"/>
      <c r="K29" s="104"/>
      <c r="L29" s="117"/>
      <c r="M29" s="117"/>
      <c r="N29" s="117"/>
      <c r="O29" s="117"/>
      <c r="P29" s="117"/>
      <c r="Q29" s="567"/>
      <c r="R29" s="117"/>
      <c r="S29" s="117"/>
      <c r="T29" s="117"/>
      <c r="U29" s="117"/>
      <c r="V29" s="117"/>
      <c r="W29" s="567"/>
      <c r="X29" s="118"/>
      <c r="Y29" s="118"/>
      <c r="Z29" s="118"/>
      <c r="AA29" s="118"/>
      <c r="AB29" s="118"/>
      <c r="AC29" s="567"/>
      <c r="AD29" s="117"/>
      <c r="AE29" s="117"/>
      <c r="AF29" s="117"/>
      <c r="AG29" s="117"/>
      <c r="AH29" s="117"/>
      <c r="AI29" s="642"/>
    </row>
    <row r="30" spans="1:37" s="386" customFormat="1" ht="15.75">
      <c r="A30" s="383" t="s">
        <v>277</v>
      </c>
      <c r="B30" s="384"/>
      <c r="C30" s="385"/>
      <c r="D30" s="385"/>
      <c r="E30" s="385"/>
      <c r="F30" s="510"/>
      <c r="G30" s="510"/>
      <c r="H30" s="385"/>
      <c r="I30" s="385"/>
      <c r="J30" s="384"/>
      <c r="K30" s="384"/>
      <c r="L30" s="388">
        <f>SUM(L8:L27)</f>
        <v>58000</v>
      </c>
      <c r="M30" s="388">
        <f t="shared" ref="M30:AI30" si="4">SUM(M8:M27)</f>
        <v>0</v>
      </c>
      <c r="N30" s="388">
        <f t="shared" si="4"/>
        <v>0</v>
      </c>
      <c r="O30" s="388">
        <f t="shared" si="4"/>
        <v>0</v>
      </c>
      <c r="P30" s="388">
        <f t="shared" si="4"/>
        <v>0</v>
      </c>
      <c r="Q30" s="510">
        <f>SUM(Q8:Q27)</f>
        <v>58000</v>
      </c>
      <c r="R30" s="388">
        <f>SUM(R8:R27)</f>
        <v>453304</v>
      </c>
      <c r="S30" s="388">
        <f t="shared" si="4"/>
        <v>0</v>
      </c>
      <c r="T30" s="388">
        <f t="shared" si="4"/>
        <v>0</v>
      </c>
      <c r="U30" s="388">
        <f t="shared" si="4"/>
        <v>0</v>
      </c>
      <c r="V30" s="388">
        <f t="shared" si="4"/>
        <v>0</v>
      </c>
      <c r="W30" s="510">
        <f>SUM(W8:W27)</f>
        <v>453304</v>
      </c>
      <c r="X30" s="388">
        <f>SUM(X8:X27)</f>
        <v>1713370</v>
      </c>
      <c r="Y30" s="388">
        <f t="shared" si="4"/>
        <v>0</v>
      </c>
      <c r="Z30" s="388">
        <f t="shared" si="4"/>
        <v>0</v>
      </c>
      <c r="AA30" s="388">
        <f t="shared" si="4"/>
        <v>0</v>
      </c>
      <c r="AB30" s="388">
        <f t="shared" si="4"/>
        <v>0</v>
      </c>
      <c r="AC30" s="510">
        <f>SUM(AC8:AC27)</f>
        <v>1713370</v>
      </c>
      <c r="AD30" s="388">
        <f t="shared" si="4"/>
        <v>692950</v>
      </c>
      <c r="AE30" s="388">
        <f t="shared" si="4"/>
        <v>0</v>
      </c>
      <c r="AF30" s="388">
        <f t="shared" si="4"/>
        <v>0</v>
      </c>
      <c r="AG30" s="388">
        <f t="shared" si="4"/>
        <v>0</v>
      </c>
      <c r="AH30" s="388">
        <f>SUM(AH8:AH27)</f>
        <v>0</v>
      </c>
      <c r="AI30" s="510">
        <f t="shared" si="4"/>
        <v>692950</v>
      </c>
      <c r="AJ30" s="389"/>
      <c r="AK30" s="389">
        <f>SUM(X30+R30+L30+AI30)</f>
        <v>2917624</v>
      </c>
    </row>
    <row r="31" spans="1:37" s="82" customFormat="1" ht="15.75">
      <c r="A31" s="1177" t="s">
        <v>278</v>
      </c>
      <c r="B31" s="1177"/>
      <c r="C31" s="1177"/>
      <c r="D31" s="1177"/>
      <c r="E31" s="104"/>
      <c r="F31" s="505"/>
      <c r="G31" s="505"/>
      <c r="H31" s="104"/>
      <c r="I31" s="104"/>
      <c r="J31" s="104"/>
      <c r="K31" s="104"/>
      <c r="L31" s="104"/>
      <c r="M31" s="104"/>
      <c r="N31" s="104"/>
      <c r="O31" s="104"/>
      <c r="P31" s="104"/>
      <c r="Q31" s="505"/>
      <c r="R31" s="104"/>
      <c r="S31" s="104"/>
      <c r="T31" s="104"/>
      <c r="U31" s="104"/>
      <c r="V31" s="104"/>
      <c r="W31" s="505"/>
      <c r="X31" s="104"/>
      <c r="Y31" s="104"/>
      <c r="Z31" s="104"/>
      <c r="AA31" s="104"/>
      <c r="AB31" s="104"/>
      <c r="AC31" s="505"/>
      <c r="AD31" s="104"/>
      <c r="AE31" s="104"/>
      <c r="AF31" s="104"/>
      <c r="AG31" s="104"/>
      <c r="AH31" s="104"/>
      <c r="AI31" s="642"/>
      <c r="AK31" s="386">
        <f>SUM(AI30+AC30+W30+Q30)</f>
        <v>2917624</v>
      </c>
    </row>
    <row r="32" spans="1:37" s="82" customFormat="1" ht="47.25" customHeight="1">
      <c r="A32" s="1164"/>
      <c r="B32" s="1176" t="s">
        <v>215</v>
      </c>
      <c r="C32" s="1176" t="s">
        <v>279</v>
      </c>
      <c r="D32" s="1175" t="s">
        <v>0</v>
      </c>
      <c r="E32" s="1175" t="s">
        <v>210</v>
      </c>
      <c r="F32" s="1223" t="s">
        <v>280</v>
      </c>
      <c r="G32" s="1223"/>
      <c r="H32" s="1176" t="s">
        <v>22</v>
      </c>
      <c r="I32" s="1176" t="s">
        <v>281</v>
      </c>
      <c r="J32" s="1176" t="s">
        <v>212</v>
      </c>
      <c r="K32" s="1176" t="s">
        <v>282</v>
      </c>
      <c r="L32" s="1175">
        <v>2013</v>
      </c>
      <c r="M32" s="1175"/>
      <c r="N32" s="1175"/>
      <c r="O32" s="1175"/>
      <c r="P32" s="1175"/>
      <c r="Q32" s="1175"/>
      <c r="R32" s="1175">
        <v>2014</v>
      </c>
      <c r="S32" s="1175"/>
      <c r="T32" s="1175"/>
      <c r="U32" s="1175"/>
      <c r="V32" s="1175"/>
      <c r="W32" s="1175"/>
      <c r="X32" s="1175">
        <v>2015</v>
      </c>
      <c r="Y32" s="1175"/>
      <c r="Z32" s="1175"/>
      <c r="AA32" s="1175"/>
      <c r="AB32" s="1175"/>
      <c r="AC32" s="1175"/>
      <c r="AD32" s="1175">
        <v>2016</v>
      </c>
      <c r="AE32" s="1175"/>
      <c r="AF32" s="1175"/>
      <c r="AG32" s="1175"/>
      <c r="AH32" s="1175"/>
      <c r="AI32" s="643" t="s">
        <v>688</v>
      </c>
      <c r="AJ32" s="315" t="s">
        <v>689</v>
      </c>
    </row>
    <row r="33" spans="1:36" s="82" customFormat="1" ht="15.75">
      <c r="A33" s="1163"/>
      <c r="B33" s="1225"/>
      <c r="C33" s="1225"/>
      <c r="D33" s="1175"/>
      <c r="E33" s="1175"/>
      <c r="F33" s="1224"/>
      <c r="G33" s="1224"/>
      <c r="H33" s="1225"/>
      <c r="I33" s="1225"/>
      <c r="J33" s="1225"/>
      <c r="K33" s="1225"/>
      <c r="L33" s="1175" t="s">
        <v>283</v>
      </c>
      <c r="M33" s="1175"/>
      <c r="N33" s="1175"/>
      <c r="O33" s="1175"/>
      <c r="P33" s="1175"/>
      <c r="Q33" s="1175"/>
      <c r="R33" s="1175" t="s">
        <v>283</v>
      </c>
      <c r="S33" s="1175"/>
      <c r="T33" s="1175"/>
      <c r="U33" s="1175"/>
      <c r="V33" s="1175"/>
      <c r="W33" s="1175"/>
      <c r="X33" s="1175" t="s">
        <v>283</v>
      </c>
      <c r="Y33" s="1175"/>
      <c r="Z33" s="1175"/>
      <c r="AA33" s="1175"/>
      <c r="AB33" s="1175"/>
      <c r="AC33" s="1175"/>
      <c r="AD33" s="1175" t="s">
        <v>283</v>
      </c>
      <c r="AE33" s="1175"/>
      <c r="AF33" s="1175"/>
      <c r="AG33" s="1175"/>
      <c r="AH33" s="1175"/>
      <c r="AI33" s="644"/>
      <c r="AJ33" s="316"/>
    </row>
    <row r="34" spans="1:36" s="82" customFormat="1" ht="51">
      <c r="A34" s="1165"/>
      <c r="B34" s="1226"/>
      <c r="C34" s="1226"/>
      <c r="D34" s="1175"/>
      <c r="E34" s="1175"/>
      <c r="F34" s="507" t="s">
        <v>284</v>
      </c>
      <c r="G34" s="507" t="s">
        <v>6</v>
      </c>
      <c r="H34" s="1226"/>
      <c r="I34" s="1226"/>
      <c r="J34" s="1226"/>
      <c r="K34" s="1226"/>
      <c r="L34" s="119" t="s">
        <v>1</v>
      </c>
      <c r="M34" s="119" t="s">
        <v>2</v>
      </c>
      <c r="N34" s="119" t="s">
        <v>285</v>
      </c>
      <c r="O34" s="119" t="s">
        <v>17</v>
      </c>
      <c r="P34" s="119" t="s">
        <v>19</v>
      </c>
      <c r="Q34" s="507" t="s">
        <v>4</v>
      </c>
      <c r="R34" s="119" t="s">
        <v>1</v>
      </c>
      <c r="S34" s="119" t="s">
        <v>2</v>
      </c>
      <c r="T34" s="119" t="s">
        <v>285</v>
      </c>
      <c r="U34" s="119" t="s">
        <v>17</v>
      </c>
      <c r="V34" s="119" t="s">
        <v>19</v>
      </c>
      <c r="W34" s="507" t="s">
        <v>4</v>
      </c>
      <c r="X34" s="119" t="s">
        <v>1</v>
      </c>
      <c r="Y34" s="119" t="s">
        <v>2</v>
      </c>
      <c r="Z34" s="119" t="s">
        <v>285</v>
      </c>
      <c r="AA34" s="119" t="s">
        <v>17</v>
      </c>
      <c r="AB34" s="119" t="s">
        <v>19</v>
      </c>
      <c r="AC34" s="507" t="s">
        <v>4</v>
      </c>
      <c r="AD34" s="119" t="s">
        <v>1</v>
      </c>
      <c r="AE34" s="119" t="s">
        <v>2</v>
      </c>
      <c r="AF34" s="119" t="s">
        <v>285</v>
      </c>
      <c r="AG34" s="119" t="s">
        <v>17</v>
      </c>
      <c r="AH34" s="119" t="s">
        <v>19</v>
      </c>
      <c r="AI34" s="644"/>
      <c r="AJ34" s="313"/>
    </row>
    <row r="35" spans="1:36" s="82" customFormat="1" ht="15.75">
      <c r="A35" s="159"/>
      <c r="B35" s="121" t="s">
        <v>33</v>
      </c>
      <c r="C35" s="121" t="s">
        <v>34</v>
      </c>
      <c r="D35" s="121" t="s">
        <v>45</v>
      </c>
      <c r="E35" s="121" t="s">
        <v>35</v>
      </c>
      <c r="F35" s="511" t="s">
        <v>36</v>
      </c>
      <c r="G35" s="511" t="s">
        <v>37</v>
      </c>
      <c r="H35" s="121" t="s">
        <v>38</v>
      </c>
      <c r="I35" s="121" t="s">
        <v>39</v>
      </c>
      <c r="J35" s="121" t="s">
        <v>40</v>
      </c>
      <c r="K35" s="121" t="s">
        <v>41</v>
      </c>
      <c r="L35" s="119" t="s">
        <v>221</v>
      </c>
      <c r="M35" s="121" t="s">
        <v>222</v>
      </c>
      <c r="N35" s="121" t="s">
        <v>223</v>
      </c>
      <c r="O35" s="119" t="s">
        <v>224</v>
      </c>
      <c r="P35" s="121" t="s">
        <v>225</v>
      </c>
      <c r="Q35" s="511" t="s">
        <v>226</v>
      </c>
      <c r="R35" s="119" t="s">
        <v>227</v>
      </c>
      <c r="S35" s="121" t="s">
        <v>286</v>
      </c>
      <c r="T35" s="121" t="s">
        <v>229</v>
      </c>
      <c r="U35" s="119" t="s">
        <v>230</v>
      </c>
      <c r="V35" s="121" t="s">
        <v>231</v>
      </c>
      <c r="W35" s="511" t="s">
        <v>232</v>
      </c>
      <c r="X35" s="119" t="s">
        <v>233</v>
      </c>
      <c r="Y35" s="121" t="s">
        <v>234</v>
      </c>
      <c r="Z35" s="121" t="s">
        <v>235</v>
      </c>
      <c r="AA35" s="119" t="s">
        <v>236</v>
      </c>
      <c r="AB35" s="121" t="s">
        <v>237</v>
      </c>
      <c r="AC35" s="511" t="s">
        <v>238</v>
      </c>
      <c r="AD35" s="119" t="s">
        <v>239</v>
      </c>
      <c r="AE35" s="121" t="s">
        <v>240</v>
      </c>
      <c r="AF35" s="121" t="s">
        <v>241</v>
      </c>
      <c r="AG35" s="119" t="s">
        <v>242</v>
      </c>
      <c r="AH35" s="121" t="s">
        <v>243</v>
      </c>
      <c r="AI35" s="646"/>
      <c r="AJ35" s="313"/>
    </row>
    <row r="36" spans="1:36" s="82" customFormat="1" ht="15.75">
      <c r="A36" s="160" t="s">
        <v>287</v>
      </c>
      <c r="B36" s="473"/>
      <c r="C36" s="473"/>
      <c r="D36" s="473"/>
      <c r="E36" s="473"/>
      <c r="F36" s="512"/>
      <c r="G36" s="512"/>
      <c r="H36" s="473"/>
      <c r="I36" s="473"/>
      <c r="J36" s="473"/>
      <c r="K36" s="473"/>
      <c r="L36" s="473"/>
      <c r="M36" s="473"/>
      <c r="N36" s="473"/>
      <c r="O36" s="473"/>
      <c r="P36" s="473"/>
      <c r="Q36" s="512">
        <f>SUM(L36:P36)</f>
        <v>0</v>
      </c>
      <c r="R36" s="473"/>
      <c r="S36" s="473"/>
      <c r="T36" s="473"/>
      <c r="U36" s="473"/>
      <c r="V36" s="473"/>
      <c r="W36" s="512"/>
      <c r="X36" s="473"/>
      <c r="Y36" s="473"/>
      <c r="Z36" s="473"/>
      <c r="AA36" s="473"/>
      <c r="AB36" s="473"/>
      <c r="AC36" s="512"/>
      <c r="AD36" s="473"/>
      <c r="AE36" s="473"/>
      <c r="AF36" s="473"/>
      <c r="AG36" s="473"/>
      <c r="AH36" s="473"/>
      <c r="AI36" s="646"/>
      <c r="AJ36" s="313"/>
    </row>
    <row r="37" spans="1:36" s="82" customFormat="1" ht="25.5">
      <c r="A37" s="160" t="s">
        <v>288</v>
      </c>
      <c r="B37" s="472"/>
      <c r="C37" s="472"/>
      <c r="D37" s="472"/>
      <c r="E37" s="472"/>
      <c r="F37" s="513"/>
      <c r="G37" s="513"/>
      <c r="H37" s="472"/>
      <c r="I37" s="472"/>
      <c r="J37" s="472"/>
      <c r="K37" s="472"/>
      <c r="L37" s="472"/>
      <c r="M37" s="472"/>
      <c r="N37" s="472"/>
      <c r="O37" s="472"/>
      <c r="P37" s="472"/>
      <c r="Q37" s="513"/>
      <c r="R37" s="472"/>
      <c r="S37" s="472"/>
      <c r="T37" s="472"/>
      <c r="U37" s="472"/>
      <c r="V37" s="472"/>
      <c r="W37" s="513"/>
      <c r="X37" s="472"/>
      <c r="Y37" s="472"/>
      <c r="Z37" s="472"/>
      <c r="AA37" s="472"/>
      <c r="AB37" s="472"/>
      <c r="AC37" s="513"/>
      <c r="AD37" s="472"/>
      <c r="AE37" s="472"/>
      <c r="AF37" s="472"/>
      <c r="AG37" s="472"/>
      <c r="AH37" s="472"/>
      <c r="AI37" s="646">
        <f>SUM(AD37:AH37)</f>
        <v>0</v>
      </c>
      <c r="AJ37" s="313"/>
    </row>
    <row r="38" spans="1:36" s="82" customFormat="1" ht="15.75">
      <c r="A38" s="161"/>
      <c r="B38" s="474"/>
      <c r="C38" s="474"/>
      <c r="D38" s="474"/>
      <c r="E38" s="474"/>
      <c r="F38" s="514"/>
      <c r="G38" s="514"/>
      <c r="H38" s="474"/>
      <c r="I38" s="474"/>
      <c r="J38" s="474"/>
      <c r="K38" s="474"/>
      <c r="L38" s="474"/>
      <c r="M38" s="474"/>
      <c r="N38" s="474"/>
      <c r="O38" s="474"/>
      <c r="P38" s="474"/>
      <c r="Q38" s="514"/>
      <c r="R38" s="474"/>
      <c r="S38" s="474"/>
      <c r="T38" s="474"/>
      <c r="U38" s="474"/>
      <c r="V38" s="474"/>
      <c r="W38" s="514"/>
      <c r="X38" s="474"/>
      <c r="Y38" s="474"/>
      <c r="Z38" s="474"/>
      <c r="AA38" s="474"/>
      <c r="AB38" s="474"/>
      <c r="AC38" s="514"/>
      <c r="AD38" s="474"/>
      <c r="AE38" s="474"/>
      <c r="AF38" s="474"/>
      <c r="AG38" s="474"/>
      <c r="AH38" s="474"/>
      <c r="AI38" s="646">
        <f t="shared" ref="AI38:AI64" si="5">SUM(AD38:AH38)</f>
        <v>0</v>
      </c>
      <c r="AJ38" s="313"/>
    </row>
    <row r="39" spans="1:36" s="82" customFormat="1" ht="15.75">
      <c r="A39" s="160" t="s">
        <v>289</v>
      </c>
      <c r="B39" s="472"/>
      <c r="C39" s="472"/>
      <c r="D39" s="472"/>
      <c r="E39" s="472"/>
      <c r="F39" s="513"/>
      <c r="G39" s="513"/>
      <c r="H39" s="472"/>
      <c r="I39" s="472"/>
      <c r="J39" s="472"/>
      <c r="K39" s="472"/>
      <c r="L39" s="472"/>
      <c r="M39" s="472"/>
      <c r="N39" s="472"/>
      <c r="O39" s="472"/>
      <c r="P39" s="472"/>
      <c r="Q39" s="513">
        <f>SUM(L39:P39)</f>
        <v>0</v>
      </c>
      <c r="R39" s="472"/>
      <c r="S39" s="472"/>
      <c r="T39" s="472"/>
      <c r="U39" s="472"/>
      <c r="V39" s="472"/>
      <c r="W39" s="513"/>
      <c r="X39" s="472"/>
      <c r="Y39" s="472"/>
      <c r="Z39" s="472"/>
      <c r="AA39" s="472"/>
      <c r="AB39" s="472"/>
      <c r="AC39" s="513"/>
      <c r="AD39" s="472"/>
      <c r="AE39" s="472"/>
      <c r="AF39" s="472"/>
      <c r="AG39" s="472"/>
      <c r="AH39" s="472"/>
      <c r="AI39" s="646">
        <f t="shared" si="5"/>
        <v>0</v>
      </c>
      <c r="AJ39" s="313"/>
    </row>
    <row r="40" spans="1:36" s="82" customFormat="1" ht="25.5">
      <c r="A40" s="160" t="s">
        <v>290</v>
      </c>
      <c r="B40" s="472"/>
      <c r="C40" s="472"/>
      <c r="D40" s="472"/>
      <c r="E40" s="472"/>
      <c r="F40" s="513"/>
      <c r="G40" s="513"/>
      <c r="H40" s="472"/>
      <c r="I40" s="472"/>
      <c r="J40" s="472"/>
      <c r="K40" s="472"/>
      <c r="L40" s="472"/>
      <c r="M40" s="472"/>
      <c r="N40" s="472"/>
      <c r="O40" s="472"/>
      <c r="P40" s="472"/>
      <c r="Q40" s="513"/>
      <c r="R40" s="472"/>
      <c r="S40" s="472"/>
      <c r="T40" s="472"/>
      <c r="U40" s="472"/>
      <c r="V40" s="472"/>
      <c r="W40" s="513"/>
      <c r="X40" s="472"/>
      <c r="Y40" s="472"/>
      <c r="Z40" s="472"/>
      <c r="AA40" s="472"/>
      <c r="AB40" s="472"/>
      <c r="AC40" s="513"/>
      <c r="AD40" s="472"/>
      <c r="AE40" s="472"/>
      <c r="AF40" s="472"/>
      <c r="AG40" s="472"/>
      <c r="AH40" s="472"/>
      <c r="AI40" s="646">
        <f t="shared" si="5"/>
        <v>0</v>
      </c>
      <c r="AJ40" s="313"/>
    </row>
    <row r="41" spans="1:36" s="82" customFormat="1" ht="15.75">
      <c r="A41" s="160" t="s">
        <v>291</v>
      </c>
      <c r="B41" s="472"/>
      <c r="C41" s="472"/>
      <c r="D41" s="472"/>
      <c r="E41" s="472"/>
      <c r="F41" s="513"/>
      <c r="G41" s="513"/>
      <c r="H41" s="472"/>
      <c r="I41" s="472"/>
      <c r="J41" s="472"/>
      <c r="K41" s="472"/>
      <c r="L41" s="477"/>
      <c r="M41" s="477"/>
      <c r="N41" s="477"/>
      <c r="O41" s="477"/>
      <c r="P41" s="477"/>
      <c r="Q41" s="568"/>
      <c r="R41" s="477"/>
      <c r="S41" s="477"/>
      <c r="T41" s="477"/>
      <c r="U41" s="477"/>
      <c r="V41" s="477"/>
      <c r="W41" s="568"/>
      <c r="X41" s="477"/>
      <c r="Y41" s="477"/>
      <c r="Z41" s="477"/>
      <c r="AA41" s="477"/>
      <c r="AB41" s="477"/>
      <c r="AC41" s="568"/>
      <c r="AD41" s="477"/>
      <c r="AE41" s="477"/>
      <c r="AF41" s="477"/>
      <c r="AG41" s="477"/>
      <c r="AH41" s="477"/>
      <c r="AI41" s="646">
        <f t="shared" si="5"/>
        <v>0</v>
      </c>
      <c r="AJ41" s="313"/>
    </row>
    <row r="42" spans="1:36" s="82" customFormat="1" ht="15.75">
      <c r="A42" s="161"/>
      <c r="B42" s="474"/>
      <c r="C42" s="474"/>
      <c r="D42" s="474"/>
      <c r="E42" s="474"/>
      <c r="F42" s="514"/>
      <c r="G42" s="514"/>
      <c r="H42" s="474"/>
      <c r="I42" s="474"/>
      <c r="J42" s="474"/>
      <c r="K42" s="474"/>
      <c r="L42" s="125"/>
      <c r="M42" s="125"/>
      <c r="N42" s="125"/>
      <c r="O42" s="125"/>
      <c r="P42" s="125"/>
      <c r="Q42" s="569"/>
      <c r="R42" s="125"/>
      <c r="S42" s="125"/>
      <c r="T42" s="125"/>
      <c r="U42" s="125"/>
      <c r="V42" s="125"/>
      <c r="W42" s="569"/>
      <c r="X42" s="125"/>
      <c r="Y42" s="125"/>
      <c r="Z42" s="125"/>
      <c r="AA42" s="125"/>
      <c r="AB42" s="125"/>
      <c r="AC42" s="569"/>
      <c r="AD42" s="125"/>
      <c r="AE42" s="125"/>
      <c r="AF42" s="125"/>
      <c r="AG42" s="125"/>
      <c r="AH42" s="125"/>
      <c r="AI42" s="646">
        <f t="shared" si="5"/>
        <v>0</v>
      </c>
      <c r="AJ42" s="313"/>
    </row>
    <row r="43" spans="1:36" s="82" customFormat="1" ht="15.75">
      <c r="A43" s="160" t="s">
        <v>292</v>
      </c>
      <c r="B43" s="472"/>
      <c r="C43" s="472"/>
      <c r="D43" s="472"/>
      <c r="E43" s="472"/>
      <c r="F43" s="513"/>
      <c r="G43" s="513"/>
      <c r="H43" s="472"/>
      <c r="I43" s="472"/>
      <c r="J43" s="472"/>
      <c r="K43" s="472"/>
      <c r="L43" s="477"/>
      <c r="M43" s="477"/>
      <c r="N43" s="477"/>
      <c r="O43" s="477"/>
      <c r="P43" s="477"/>
      <c r="Q43" s="568"/>
      <c r="R43" s="477"/>
      <c r="S43" s="477"/>
      <c r="T43" s="477"/>
      <c r="U43" s="477"/>
      <c r="V43" s="477"/>
      <c r="W43" s="568"/>
      <c r="X43" s="477"/>
      <c r="Y43" s="477"/>
      <c r="Z43" s="477"/>
      <c r="AA43" s="477"/>
      <c r="AB43" s="477"/>
      <c r="AC43" s="568"/>
      <c r="AD43" s="477"/>
      <c r="AE43" s="477"/>
      <c r="AF43" s="477"/>
      <c r="AG43" s="477"/>
      <c r="AH43" s="477"/>
      <c r="AI43" s="646">
        <f t="shared" si="5"/>
        <v>0</v>
      </c>
      <c r="AJ43" s="313"/>
    </row>
    <row r="44" spans="1:36" s="82" customFormat="1" ht="15.75">
      <c r="A44" s="161"/>
      <c r="B44" s="474"/>
      <c r="C44" s="474"/>
      <c r="D44" s="474"/>
      <c r="E44" s="474"/>
      <c r="F44" s="514"/>
      <c r="G44" s="514"/>
      <c r="H44" s="474"/>
      <c r="I44" s="474"/>
      <c r="J44" s="474"/>
      <c r="K44" s="474"/>
      <c r="L44" s="125"/>
      <c r="M44" s="125"/>
      <c r="N44" s="125"/>
      <c r="O44" s="125"/>
      <c r="P44" s="125"/>
      <c r="Q44" s="569"/>
      <c r="R44" s="125"/>
      <c r="S44" s="125"/>
      <c r="T44" s="125"/>
      <c r="U44" s="125"/>
      <c r="V44" s="125"/>
      <c r="W44" s="569"/>
      <c r="X44" s="125"/>
      <c r="Y44" s="125"/>
      <c r="Z44" s="125"/>
      <c r="AA44" s="125"/>
      <c r="AB44" s="125"/>
      <c r="AC44" s="569"/>
      <c r="AD44" s="125"/>
      <c r="AE44" s="125"/>
      <c r="AF44" s="125"/>
      <c r="AG44" s="125"/>
      <c r="AH44" s="125"/>
      <c r="AI44" s="646">
        <f t="shared" si="5"/>
        <v>0</v>
      </c>
      <c r="AJ44" s="313"/>
    </row>
    <row r="45" spans="1:36" s="82" customFormat="1" ht="15.75">
      <c r="A45" s="160" t="s">
        <v>293</v>
      </c>
      <c r="B45" s="472"/>
      <c r="C45" s="472"/>
      <c r="D45" s="1163"/>
      <c r="E45" s="472"/>
      <c r="F45" s="513"/>
      <c r="G45" s="513"/>
      <c r="H45" s="472"/>
      <c r="I45" s="472"/>
      <c r="J45" s="472"/>
      <c r="K45" s="472"/>
      <c r="L45" s="477"/>
      <c r="M45" s="477"/>
      <c r="N45" s="477"/>
      <c r="O45" s="477"/>
      <c r="P45" s="477"/>
      <c r="Q45" s="568"/>
      <c r="R45" s="477"/>
      <c r="S45" s="477"/>
      <c r="T45" s="477"/>
      <c r="U45" s="477"/>
      <c r="V45" s="477"/>
      <c r="W45" s="568"/>
      <c r="X45" s="477"/>
      <c r="Y45" s="477"/>
      <c r="Z45" s="477"/>
      <c r="AA45" s="477"/>
      <c r="AB45" s="477"/>
      <c r="AC45" s="568"/>
      <c r="AD45" s="477"/>
      <c r="AE45" s="477"/>
      <c r="AF45" s="477"/>
      <c r="AG45" s="477"/>
      <c r="AH45" s="477"/>
      <c r="AI45" s="646">
        <f t="shared" si="5"/>
        <v>0</v>
      </c>
      <c r="AJ45" s="313"/>
    </row>
    <row r="46" spans="1:36" s="82" customFormat="1" ht="15.75">
      <c r="A46" s="160"/>
      <c r="B46" s="472"/>
      <c r="C46" s="472"/>
      <c r="D46" s="1163"/>
      <c r="E46" s="472"/>
      <c r="F46" s="513"/>
      <c r="G46" s="513"/>
      <c r="H46" s="472"/>
      <c r="I46" s="472"/>
      <c r="J46" s="472"/>
      <c r="K46" s="472"/>
      <c r="L46" s="477"/>
      <c r="M46" s="477"/>
      <c r="N46" s="477"/>
      <c r="O46" s="477"/>
      <c r="P46" s="477"/>
      <c r="Q46" s="568"/>
      <c r="R46" s="477"/>
      <c r="S46" s="477"/>
      <c r="T46" s="477"/>
      <c r="U46" s="477"/>
      <c r="V46" s="477"/>
      <c r="W46" s="568"/>
      <c r="X46" s="477"/>
      <c r="Y46" s="477"/>
      <c r="Z46" s="477"/>
      <c r="AA46" s="477"/>
      <c r="AB46" s="477"/>
      <c r="AC46" s="568"/>
      <c r="AD46" s="477"/>
      <c r="AE46" s="477"/>
      <c r="AF46" s="477"/>
      <c r="AG46" s="477"/>
      <c r="AH46" s="477"/>
      <c r="AI46" s="646">
        <f t="shared" si="5"/>
        <v>0</v>
      </c>
      <c r="AJ46" s="313"/>
    </row>
    <row r="47" spans="1:36" s="82" customFormat="1" ht="25.5">
      <c r="A47" s="162" t="s">
        <v>294</v>
      </c>
      <c r="B47" s="472"/>
      <c r="C47" s="472"/>
      <c r="D47" s="472"/>
      <c r="E47" s="472"/>
      <c r="F47" s="513"/>
      <c r="G47" s="513"/>
      <c r="H47" s="472"/>
      <c r="I47" s="472"/>
      <c r="J47" s="472"/>
      <c r="K47" s="472"/>
      <c r="L47" s="477"/>
      <c r="M47" s="477"/>
      <c r="N47" s="477"/>
      <c r="O47" s="477"/>
      <c r="P47" s="477"/>
      <c r="Q47" s="568"/>
      <c r="R47" s="477"/>
      <c r="S47" s="477"/>
      <c r="T47" s="477"/>
      <c r="U47" s="477"/>
      <c r="V47" s="477"/>
      <c r="W47" s="568"/>
      <c r="X47" s="477"/>
      <c r="Y47" s="477"/>
      <c r="Z47" s="477"/>
      <c r="AA47" s="477"/>
      <c r="AB47" s="477"/>
      <c r="AC47" s="568"/>
      <c r="AD47" s="477"/>
      <c r="AE47" s="477"/>
      <c r="AF47" s="477"/>
      <c r="AG47" s="477"/>
      <c r="AH47" s="477"/>
      <c r="AI47" s="646">
        <f t="shared" si="5"/>
        <v>0</v>
      </c>
      <c r="AJ47" s="313"/>
    </row>
    <row r="48" spans="1:36" s="82" customFormat="1" ht="15.75">
      <c r="A48" s="162" t="s">
        <v>295</v>
      </c>
      <c r="B48" s="472"/>
      <c r="C48" s="472"/>
      <c r="D48" s="472"/>
      <c r="E48" s="472"/>
      <c r="F48" s="513"/>
      <c r="G48" s="513"/>
      <c r="H48" s="472"/>
      <c r="I48" s="472"/>
      <c r="J48" s="472"/>
      <c r="K48" s="472"/>
      <c r="L48" s="477"/>
      <c r="M48" s="477"/>
      <c r="N48" s="477"/>
      <c r="O48" s="477"/>
      <c r="P48" s="477"/>
      <c r="Q48" s="568"/>
      <c r="R48" s="477"/>
      <c r="S48" s="477"/>
      <c r="T48" s="477"/>
      <c r="U48" s="477"/>
      <c r="V48" s="477"/>
      <c r="W48" s="568"/>
      <c r="X48" s="477"/>
      <c r="Y48" s="477"/>
      <c r="Z48" s="477"/>
      <c r="AA48" s="477"/>
      <c r="AB48" s="477"/>
      <c r="AC48" s="568"/>
      <c r="AD48" s="477"/>
      <c r="AE48" s="477"/>
      <c r="AF48" s="477"/>
      <c r="AG48" s="477"/>
      <c r="AH48" s="477"/>
      <c r="AI48" s="646">
        <f t="shared" si="5"/>
        <v>0</v>
      </c>
      <c r="AJ48" s="313"/>
    </row>
    <row r="49" spans="1:37" s="82" customFormat="1" ht="15.75">
      <c r="A49" s="163"/>
      <c r="B49" s="474"/>
      <c r="C49" s="474"/>
      <c r="D49" s="474"/>
      <c r="E49" s="474"/>
      <c r="F49" s="514"/>
      <c r="G49" s="514"/>
      <c r="H49" s="474"/>
      <c r="I49" s="474"/>
      <c r="J49" s="474"/>
      <c r="K49" s="474"/>
      <c r="L49" s="125"/>
      <c r="M49" s="125"/>
      <c r="N49" s="125"/>
      <c r="O49" s="125"/>
      <c r="P49" s="125"/>
      <c r="Q49" s="569"/>
      <c r="R49" s="125"/>
      <c r="S49" s="125"/>
      <c r="T49" s="125"/>
      <c r="U49" s="125"/>
      <c r="V49" s="125"/>
      <c r="W49" s="569"/>
      <c r="X49" s="125"/>
      <c r="Y49" s="125"/>
      <c r="Z49" s="125"/>
      <c r="AA49" s="125"/>
      <c r="AB49" s="125"/>
      <c r="AC49" s="569"/>
      <c r="AD49" s="125"/>
      <c r="AE49" s="125"/>
      <c r="AF49" s="125"/>
      <c r="AG49" s="125"/>
      <c r="AH49" s="125"/>
      <c r="AI49" s="646">
        <f t="shared" si="5"/>
        <v>0</v>
      </c>
      <c r="AJ49" s="313"/>
    </row>
    <row r="50" spans="1:37" s="82" customFormat="1" ht="25.5">
      <c r="A50" s="164" t="s">
        <v>296</v>
      </c>
      <c r="B50" s="456"/>
      <c r="C50" s="456"/>
      <c r="D50" s="456"/>
      <c r="E50" s="456"/>
      <c r="F50" s="515"/>
      <c r="G50" s="515"/>
      <c r="H50" s="456"/>
      <c r="I50" s="127"/>
      <c r="J50" s="456"/>
      <c r="K50" s="456"/>
      <c r="L50" s="128"/>
      <c r="M50" s="129"/>
      <c r="N50" s="129"/>
      <c r="O50" s="129"/>
      <c r="P50" s="129"/>
      <c r="Q50" s="570"/>
      <c r="R50" s="129"/>
      <c r="S50" s="129"/>
      <c r="T50" s="129"/>
      <c r="U50" s="129"/>
      <c r="V50" s="129"/>
      <c r="W50" s="570"/>
      <c r="X50" s="129"/>
      <c r="Y50" s="129"/>
      <c r="Z50" s="129"/>
      <c r="AA50" s="129"/>
      <c r="AB50" s="129"/>
      <c r="AC50" s="570"/>
      <c r="AD50" s="129"/>
      <c r="AE50" s="129"/>
      <c r="AF50" s="129"/>
      <c r="AG50" s="129"/>
      <c r="AH50" s="129"/>
      <c r="AI50" s="646">
        <f t="shared" si="5"/>
        <v>0</v>
      </c>
      <c r="AJ50" s="313"/>
    </row>
    <row r="51" spans="1:37" s="82" customFormat="1" ht="63.75" customHeight="1">
      <c r="A51" s="162" t="s">
        <v>297</v>
      </c>
      <c r="B51" s="472"/>
      <c r="C51" s="472"/>
      <c r="D51" s="472" t="s">
        <v>277</v>
      </c>
      <c r="E51" s="473" t="s">
        <v>85</v>
      </c>
      <c r="F51" s="513"/>
      <c r="G51" s="513"/>
      <c r="H51" s="472" t="s">
        <v>310</v>
      </c>
      <c r="I51" s="478" t="s">
        <v>298</v>
      </c>
      <c r="J51" s="472" t="s">
        <v>299</v>
      </c>
      <c r="K51" s="472"/>
      <c r="L51" s="131">
        <v>500</v>
      </c>
      <c r="M51" s="477"/>
      <c r="N51" s="477"/>
      <c r="O51" s="477"/>
      <c r="P51" s="477"/>
      <c r="Q51" s="571">
        <f>SUM(L51:P51)</f>
        <v>500</v>
      </c>
      <c r="R51" s="476">
        <v>5000</v>
      </c>
      <c r="S51" s="477"/>
      <c r="T51" s="477"/>
      <c r="U51" s="476">
        <v>5000</v>
      </c>
      <c r="V51" s="477"/>
      <c r="W51" s="571">
        <f>SUM(R51:V51)</f>
        <v>10000</v>
      </c>
      <c r="X51" s="476">
        <v>10500</v>
      </c>
      <c r="Y51" s="477"/>
      <c r="Z51" s="477"/>
      <c r="AA51" s="476">
        <v>10500</v>
      </c>
      <c r="AB51" s="477"/>
      <c r="AC51" s="571">
        <f>SUM(X51:AB51)</f>
        <v>21000</v>
      </c>
      <c r="AD51" s="476">
        <v>12500</v>
      </c>
      <c r="AE51" s="476"/>
      <c r="AF51" s="476">
        <v>10000</v>
      </c>
      <c r="AG51" s="476">
        <v>12500</v>
      </c>
      <c r="AH51" s="477"/>
      <c r="AI51" s="646">
        <f>SUM(AD51:AH51)</f>
        <v>35000</v>
      </c>
      <c r="AJ51" s="313"/>
    </row>
    <row r="52" spans="1:37" s="82" customFormat="1" ht="15.75">
      <c r="A52" s="163"/>
      <c r="B52" s="474"/>
      <c r="C52" s="474"/>
      <c r="D52" s="474"/>
      <c r="E52" s="474"/>
      <c r="F52" s="514"/>
      <c r="G52" s="514"/>
      <c r="H52" s="474"/>
      <c r="I52" s="474"/>
      <c r="J52" s="474"/>
      <c r="K52" s="474"/>
      <c r="L52" s="125"/>
      <c r="M52" s="125"/>
      <c r="N52" s="125"/>
      <c r="O52" s="125"/>
      <c r="P52" s="125"/>
      <c r="Q52" s="572"/>
      <c r="R52" s="125"/>
      <c r="S52" s="125"/>
      <c r="T52" s="125"/>
      <c r="U52" s="125"/>
      <c r="V52" s="125"/>
      <c r="W52" s="572"/>
      <c r="X52" s="125"/>
      <c r="Y52" s="125"/>
      <c r="Z52" s="125"/>
      <c r="AA52" s="125"/>
      <c r="AB52" s="125"/>
      <c r="AC52" s="572"/>
      <c r="AD52" s="125"/>
      <c r="AE52" s="125"/>
      <c r="AF52" s="125"/>
      <c r="AG52" s="125"/>
      <c r="AH52" s="125"/>
      <c r="AI52" s="646">
        <f t="shared" si="5"/>
        <v>0</v>
      </c>
      <c r="AJ52" s="313"/>
    </row>
    <row r="53" spans="1:37" s="82" customFormat="1" ht="25.5" customHeight="1">
      <c r="A53" s="162" t="s">
        <v>300</v>
      </c>
      <c r="B53" s="472"/>
      <c r="C53" s="472"/>
      <c r="D53" s="1164" t="s">
        <v>277</v>
      </c>
      <c r="E53" s="1164" t="s">
        <v>92</v>
      </c>
      <c r="F53" s="1221"/>
      <c r="G53" s="1221"/>
      <c r="H53" s="1164" t="s">
        <v>311</v>
      </c>
      <c r="I53" s="1173" t="s">
        <v>298</v>
      </c>
      <c r="J53" s="1164" t="s">
        <v>299</v>
      </c>
      <c r="K53" s="1164"/>
      <c r="L53" s="1156">
        <v>1000</v>
      </c>
      <c r="M53" s="1161"/>
      <c r="N53" s="1161"/>
      <c r="O53" s="1170"/>
      <c r="P53" s="1156">
        <v>500</v>
      </c>
      <c r="Q53" s="1219">
        <f>SUM(L53:P55)</f>
        <v>1500</v>
      </c>
      <c r="R53" s="1156">
        <v>6500</v>
      </c>
      <c r="S53" s="1161"/>
      <c r="T53" s="1161"/>
      <c r="U53" s="1156">
        <v>6500</v>
      </c>
      <c r="V53" s="1156">
        <v>500</v>
      </c>
      <c r="W53" s="1219">
        <f>SUM(R53:V55)</f>
        <v>13500</v>
      </c>
      <c r="X53" s="1156">
        <v>8500</v>
      </c>
      <c r="Y53" s="1161"/>
      <c r="Z53" s="1161"/>
      <c r="AA53" s="1156">
        <v>10000</v>
      </c>
      <c r="AB53" s="1156">
        <v>500</v>
      </c>
      <c r="AC53" s="1219">
        <f>SUM(X53:AB55)</f>
        <v>19000</v>
      </c>
      <c r="AD53" s="1156">
        <v>10000</v>
      </c>
      <c r="AE53" s="1161"/>
      <c r="AF53" s="1161"/>
      <c r="AG53" s="1156">
        <v>20000</v>
      </c>
      <c r="AH53" s="1156">
        <v>500</v>
      </c>
      <c r="AI53" s="646">
        <f>SUM(AD53:AH53)</f>
        <v>30500</v>
      </c>
      <c r="AJ53" s="319"/>
    </row>
    <row r="54" spans="1:37" s="82" customFormat="1" ht="25.5">
      <c r="A54" s="162" t="s">
        <v>301</v>
      </c>
      <c r="B54" s="472"/>
      <c r="C54" s="472"/>
      <c r="D54" s="1163"/>
      <c r="E54" s="1163"/>
      <c r="F54" s="1222"/>
      <c r="G54" s="1222"/>
      <c r="H54" s="1163"/>
      <c r="I54" s="1174"/>
      <c r="J54" s="1163"/>
      <c r="K54" s="1163"/>
      <c r="L54" s="1157"/>
      <c r="M54" s="1162"/>
      <c r="N54" s="1162"/>
      <c r="O54" s="1171"/>
      <c r="P54" s="1157"/>
      <c r="Q54" s="1220"/>
      <c r="R54" s="1157"/>
      <c r="S54" s="1162"/>
      <c r="T54" s="1162"/>
      <c r="U54" s="1157"/>
      <c r="V54" s="1157"/>
      <c r="W54" s="1220"/>
      <c r="X54" s="1157"/>
      <c r="Y54" s="1162"/>
      <c r="Z54" s="1162"/>
      <c r="AA54" s="1157"/>
      <c r="AB54" s="1157"/>
      <c r="AC54" s="1220"/>
      <c r="AD54" s="1157"/>
      <c r="AE54" s="1162"/>
      <c r="AF54" s="1162"/>
      <c r="AG54" s="1157"/>
      <c r="AH54" s="1159"/>
      <c r="AI54" s="646">
        <f t="shared" si="5"/>
        <v>0</v>
      </c>
      <c r="AJ54" s="319"/>
    </row>
    <row r="55" spans="1:37" s="82" customFormat="1" ht="15.75">
      <c r="A55" s="162" t="s">
        <v>302</v>
      </c>
      <c r="B55" s="472"/>
      <c r="C55" s="472"/>
      <c r="D55" s="1163"/>
      <c r="E55" s="1163"/>
      <c r="F55" s="1222"/>
      <c r="G55" s="1222"/>
      <c r="H55" s="1163"/>
      <c r="I55" s="1174"/>
      <c r="J55" s="1163"/>
      <c r="K55" s="1163"/>
      <c r="L55" s="1158"/>
      <c r="M55" s="1163"/>
      <c r="N55" s="1163"/>
      <c r="O55" s="1172"/>
      <c r="P55" s="1158"/>
      <c r="Q55" s="1220"/>
      <c r="R55" s="1158"/>
      <c r="S55" s="1163"/>
      <c r="T55" s="1163"/>
      <c r="U55" s="1158"/>
      <c r="V55" s="1158"/>
      <c r="W55" s="1220"/>
      <c r="X55" s="1158"/>
      <c r="Y55" s="1163"/>
      <c r="Z55" s="1163"/>
      <c r="AA55" s="1158"/>
      <c r="AB55" s="1158"/>
      <c r="AC55" s="1220"/>
      <c r="AD55" s="1158"/>
      <c r="AE55" s="1163"/>
      <c r="AF55" s="1163"/>
      <c r="AG55" s="1158"/>
      <c r="AH55" s="1160"/>
      <c r="AI55" s="646">
        <f t="shared" si="5"/>
        <v>0</v>
      </c>
      <c r="AJ55" s="313"/>
    </row>
    <row r="56" spans="1:37" s="82" customFormat="1" ht="15.75">
      <c r="A56" s="160" t="s">
        <v>303</v>
      </c>
      <c r="B56" s="472"/>
      <c r="C56" s="472"/>
      <c r="D56" s="472"/>
      <c r="E56" s="472"/>
      <c r="F56" s="513"/>
      <c r="G56" s="513"/>
      <c r="H56" s="472"/>
      <c r="I56" s="472"/>
      <c r="J56" s="472"/>
      <c r="K56" s="472"/>
      <c r="L56" s="477"/>
      <c r="M56" s="477"/>
      <c r="N56" s="477"/>
      <c r="O56" s="477"/>
      <c r="P56" s="477"/>
      <c r="Q56" s="610"/>
      <c r="R56" s="477"/>
      <c r="S56" s="477"/>
      <c r="T56" s="477"/>
      <c r="U56" s="477"/>
      <c r="V56" s="477"/>
      <c r="W56" s="568"/>
      <c r="X56" s="477"/>
      <c r="Y56" s="477"/>
      <c r="Z56" s="477"/>
      <c r="AA56" s="477"/>
      <c r="AB56" s="477"/>
      <c r="AC56" s="568"/>
      <c r="AD56" s="477"/>
      <c r="AE56" s="477"/>
      <c r="AF56" s="477"/>
      <c r="AG56" s="477"/>
      <c r="AH56" s="477"/>
      <c r="AI56" s="646">
        <f t="shared" si="5"/>
        <v>0</v>
      </c>
      <c r="AJ56" s="313"/>
    </row>
    <row r="57" spans="1:37" s="82" customFormat="1" ht="15.75">
      <c r="A57" s="160" t="s">
        <v>304</v>
      </c>
      <c r="B57" s="472"/>
      <c r="C57" s="472"/>
      <c r="D57" s="472"/>
      <c r="E57" s="472"/>
      <c r="F57" s="513"/>
      <c r="G57" s="513"/>
      <c r="H57" s="472"/>
      <c r="I57" s="472"/>
      <c r="J57" s="472"/>
      <c r="K57" s="472"/>
      <c r="L57" s="477"/>
      <c r="M57" s="477"/>
      <c r="N57" s="477"/>
      <c r="O57" s="477"/>
      <c r="P57" s="477"/>
      <c r="Q57" s="610"/>
      <c r="R57" s="477"/>
      <c r="S57" s="477"/>
      <c r="T57" s="477"/>
      <c r="U57" s="477"/>
      <c r="V57" s="477"/>
      <c r="W57" s="568"/>
      <c r="X57" s="477"/>
      <c r="Y57" s="477"/>
      <c r="Z57" s="477"/>
      <c r="AA57" s="477"/>
      <c r="AB57" s="477"/>
      <c r="AC57" s="568"/>
      <c r="AD57" s="477"/>
      <c r="AE57" s="477"/>
      <c r="AF57" s="477"/>
      <c r="AG57" s="477"/>
      <c r="AH57" s="477"/>
      <c r="AI57" s="646">
        <f t="shared" si="5"/>
        <v>0</v>
      </c>
      <c r="AJ57" s="313"/>
    </row>
    <row r="58" spans="1:37" s="82" customFormat="1" ht="15.75">
      <c r="A58" s="160" t="s">
        <v>292</v>
      </c>
      <c r="B58" s="472"/>
      <c r="C58" s="472"/>
      <c r="D58" s="472"/>
      <c r="E58" s="472"/>
      <c r="F58" s="513"/>
      <c r="G58" s="513"/>
      <c r="H58" s="472"/>
      <c r="I58" s="472"/>
      <c r="J58" s="472"/>
      <c r="K58" s="472"/>
      <c r="L58" s="472"/>
      <c r="M58" s="472"/>
      <c r="N58" s="472"/>
      <c r="O58" s="472"/>
      <c r="P58" s="472"/>
      <c r="Q58" s="611"/>
      <c r="R58" s="472"/>
      <c r="S58" s="472"/>
      <c r="T58" s="472"/>
      <c r="U58" s="472"/>
      <c r="V58" s="472"/>
      <c r="W58" s="513"/>
      <c r="X58" s="472"/>
      <c r="Y58" s="472"/>
      <c r="Z58" s="472"/>
      <c r="AA58" s="472"/>
      <c r="AB58" s="472"/>
      <c r="AC58" s="513"/>
      <c r="AD58" s="472"/>
      <c r="AE58" s="472"/>
      <c r="AF58" s="472"/>
      <c r="AG58" s="472"/>
      <c r="AH58" s="472"/>
      <c r="AI58" s="646">
        <f t="shared" si="5"/>
        <v>0</v>
      </c>
      <c r="AJ58" s="313"/>
    </row>
    <row r="59" spans="1:37" s="82" customFormat="1" ht="15.75">
      <c r="A59" s="160" t="s">
        <v>293</v>
      </c>
      <c r="B59" s="472"/>
      <c r="C59" s="472"/>
      <c r="D59" s="472"/>
      <c r="E59" s="472"/>
      <c r="F59" s="513"/>
      <c r="G59" s="513"/>
      <c r="H59" s="472"/>
      <c r="I59" s="472"/>
      <c r="J59" s="472"/>
      <c r="K59" s="472"/>
      <c r="L59" s="472"/>
      <c r="M59" s="472"/>
      <c r="N59" s="472"/>
      <c r="O59" s="472"/>
      <c r="P59" s="472"/>
      <c r="Q59" s="611"/>
      <c r="R59" s="472"/>
      <c r="S59" s="472"/>
      <c r="T59" s="472"/>
      <c r="U59" s="472"/>
      <c r="V59" s="472"/>
      <c r="W59" s="513"/>
      <c r="X59" s="472"/>
      <c r="Y59" s="472"/>
      <c r="Z59" s="472"/>
      <c r="AA59" s="472"/>
      <c r="AB59" s="472"/>
      <c r="AC59" s="513"/>
      <c r="AD59" s="472"/>
      <c r="AE59" s="472"/>
      <c r="AF59" s="472"/>
      <c r="AG59" s="472"/>
      <c r="AH59" s="472"/>
      <c r="AI59" s="646">
        <f t="shared" si="5"/>
        <v>0</v>
      </c>
      <c r="AJ59" s="313"/>
    </row>
    <row r="60" spans="1:37" s="82" customFormat="1" ht="25.5">
      <c r="A60" s="162" t="s">
        <v>294</v>
      </c>
      <c r="B60" s="472"/>
      <c r="C60" s="472"/>
      <c r="D60" s="472"/>
      <c r="E60" s="472"/>
      <c r="F60" s="513"/>
      <c r="G60" s="513"/>
      <c r="H60" s="472"/>
      <c r="I60" s="472"/>
      <c r="J60" s="472"/>
      <c r="K60" s="472"/>
      <c r="L60" s="472"/>
      <c r="M60" s="472"/>
      <c r="N60" s="472"/>
      <c r="O60" s="472"/>
      <c r="P60" s="472"/>
      <c r="Q60" s="611"/>
      <c r="R60" s="472"/>
      <c r="S60" s="472"/>
      <c r="T60" s="472"/>
      <c r="U60" s="472"/>
      <c r="V60" s="472"/>
      <c r="W60" s="513"/>
      <c r="X60" s="472"/>
      <c r="Y60" s="472"/>
      <c r="Z60" s="472"/>
      <c r="AA60" s="472"/>
      <c r="AB60" s="472"/>
      <c r="AC60" s="513"/>
      <c r="AD60" s="472"/>
      <c r="AE60" s="472"/>
      <c r="AF60" s="472"/>
      <c r="AG60" s="472"/>
      <c r="AH60" s="472"/>
      <c r="AI60" s="646">
        <f t="shared" si="5"/>
        <v>0</v>
      </c>
      <c r="AJ60" s="313"/>
    </row>
    <row r="61" spans="1:37" s="82" customFormat="1" ht="15.75">
      <c r="A61" s="162" t="s">
        <v>295</v>
      </c>
      <c r="B61" s="472"/>
      <c r="C61" s="472"/>
      <c r="D61" s="472"/>
      <c r="E61" s="472"/>
      <c r="F61" s="513"/>
      <c r="G61" s="513"/>
      <c r="H61" s="472"/>
      <c r="I61" s="472"/>
      <c r="J61" s="472"/>
      <c r="K61" s="472"/>
      <c r="L61" s="472"/>
      <c r="M61" s="472"/>
      <c r="N61" s="472"/>
      <c r="O61" s="472"/>
      <c r="P61" s="472"/>
      <c r="Q61" s="611"/>
      <c r="R61" s="472"/>
      <c r="S61" s="472"/>
      <c r="T61" s="472"/>
      <c r="U61" s="472"/>
      <c r="V61" s="472"/>
      <c r="W61" s="513"/>
      <c r="X61" s="472"/>
      <c r="Y61" s="472"/>
      <c r="Z61" s="472"/>
      <c r="AA61" s="472"/>
      <c r="AB61" s="472"/>
      <c r="AC61" s="513"/>
      <c r="AD61" s="472"/>
      <c r="AE61" s="472"/>
      <c r="AF61" s="472"/>
      <c r="AG61" s="472"/>
      <c r="AH61" s="472"/>
      <c r="AI61" s="646">
        <f t="shared" si="5"/>
        <v>0</v>
      </c>
      <c r="AJ61" s="313"/>
    </row>
    <row r="62" spans="1:37" s="82" customFormat="1" ht="25.5">
      <c r="A62" s="160" t="s">
        <v>305</v>
      </c>
      <c r="B62" s="472"/>
      <c r="C62" s="472"/>
      <c r="D62" s="472"/>
      <c r="E62" s="472"/>
      <c r="F62" s="513"/>
      <c r="G62" s="513"/>
      <c r="H62" s="472"/>
      <c r="I62" s="472"/>
      <c r="J62" s="472"/>
      <c r="K62" s="472"/>
      <c r="L62" s="472"/>
      <c r="M62" s="472"/>
      <c r="N62" s="472"/>
      <c r="O62" s="472"/>
      <c r="P62" s="472"/>
      <c r="Q62" s="611"/>
      <c r="R62" s="472"/>
      <c r="S62" s="472"/>
      <c r="T62" s="472"/>
      <c r="U62" s="472"/>
      <c r="V62" s="472"/>
      <c r="W62" s="513"/>
      <c r="X62" s="472"/>
      <c r="Y62" s="472"/>
      <c r="Z62" s="472"/>
      <c r="AA62" s="472"/>
      <c r="AB62" s="472"/>
      <c r="AC62" s="513"/>
      <c r="AD62" s="472"/>
      <c r="AE62" s="472"/>
      <c r="AF62" s="472"/>
      <c r="AG62" s="472"/>
      <c r="AH62" s="472"/>
      <c r="AI62" s="646">
        <f t="shared" si="5"/>
        <v>0</v>
      </c>
      <c r="AJ62" s="313"/>
    </row>
    <row r="63" spans="1:37" s="82" customFormat="1" ht="15.75">
      <c r="A63" s="161" t="s">
        <v>306</v>
      </c>
      <c r="B63" s="474"/>
      <c r="C63" s="474"/>
      <c r="D63" s="474"/>
      <c r="E63" s="474"/>
      <c r="F63" s="514"/>
      <c r="G63" s="514"/>
      <c r="H63" s="474"/>
      <c r="I63" s="474"/>
      <c r="J63" s="474"/>
      <c r="K63" s="474"/>
      <c r="L63" s="474"/>
      <c r="M63" s="474"/>
      <c r="N63" s="474"/>
      <c r="O63" s="474"/>
      <c r="P63" s="474"/>
      <c r="Q63" s="612"/>
      <c r="R63" s="474"/>
      <c r="S63" s="474"/>
      <c r="T63" s="474"/>
      <c r="U63" s="474"/>
      <c r="V63" s="474"/>
      <c r="W63" s="514"/>
      <c r="X63" s="474"/>
      <c r="Y63" s="474"/>
      <c r="Z63" s="474"/>
      <c r="AA63" s="474"/>
      <c r="AB63" s="474"/>
      <c r="AC63" s="514"/>
      <c r="AD63" s="474"/>
      <c r="AE63" s="474"/>
      <c r="AF63" s="474"/>
      <c r="AG63" s="474"/>
      <c r="AH63" s="474"/>
      <c r="AI63" s="646">
        <f t="shared" si="5"/>
        <v>0</v>
      </c>
      <c r="AJ63" s="313"/>
    </row>
    <row r="64" spans="1:37" s="82" customFormat="1" ht="63.75">
      <c r="A64" s="164" t="s">
        <v>307</v>
      </c>
      <c r="B64" s="1164"/>
      <c r="C64" s="456"/>
      <c r="D64" s="456" t="s">
        <v>277</v>
      </c>
      <c r="E64" s="456" t="s">
        <v>95</v>
      </c>
      <c r="F64" s="515" t="s">
        <v>96</v>
      </c>
      <c r="G64" s="515"/>
      <c r="H64" s="456" t="s">
        <v>311</v>
      </c>
      <c r="I64" s="456" t="s">
        <v>308</v>
      </c>
      <c r="J64" s="456" t="s">
        <v>299</v>
      </c>
      <c r="K64" s="456"/>
      <c r="L64" s="320"/>
      <c r="M64" s="129"/>
      <c r="N64" s="129"/>
      <c r="O64" s="129"/>
      <c r="P64" s="129"/>
      <c r="Q64" s="573"/>
      <c r="R64" s="320">
        <v>56778</v>
      </c>
      <c r="S64" s="129"/>
      <c r="T64" s="129"/>
      <c r="U64" s="129"/>
      <c r="V64" s="129"/>
      <c r="W64" s="573">
        <v>56778</v>
      </c>
      <c r="X64" s="129"/>
      <c r="Y64" s="129"/>
      <c r="Z64" s="129"/>
      <c r="AA64" s="129"/>
      <c r="AB64" s="129"/>
      <c r="AC64" s="573"/>
      <c r="AD64" s="129"/>
      <c r="AE64" s="129"/>
      <c r="AF64" s="129"/>
      <c r="AG64" s="129"/>
      <c r="AH64" s="129"/>
      <c r="AI64" s="646">
        <f t="shared" si="5"/>
        <v>0</v>
      </c>
      <c r="AJ64" s="314"/>
      <c r="AK64" s="395">
        <f>SUM(AD65:AH65)</f>
        <v>65500</v>
      </c>
    </row>
    <row r="65" spans="1:37" s="82" customFormat="1" ht="15.75">
      <c r="A65" s="163" t="s">
        <v>690</v>
      </c>
      <c r="B65" s="1165"/>
      <c r="C65" s="456"/>
      <c r="D65" s="456"/>
      <c r="E65" s="456"/>
      <c r="F65" s="515"/>
      <c r="G65" s="515"/>
      <c r="H65" s="456"/>
      <c r="I65" s="456"/>
      <c r="J65" s="456"/>
      <c r="K65" s="456"/>
      <c r="L65" s="321">
        <v>1500</v>
      </c>
      <c r="M65" s="456"/>
      <c r="N65" s="456"/>
      <c r="O65" s="456"/>
      <c r="P65" s="322">
        <v>500</v>
      </c>
      <c r="Q65" s="574">
        <v>1500</v>
      </c>
      <c r="R65" s="321">
        <v>63778</v>
      </c>
      <c r="S65" s="456"/>
      <c r="T65" s="456"/>
      <c r="U65" s="456"/>
      <c r="V65" s="322">
        <v>500</v>
      </c>
      <c r="W65" s="574">
        <v>75778</v>
      </c>
      <c r="X65" s="321">
        <v>19000</v>
      </c>
      <c r="Y65" s="322"/>
      <c r="Z65" s="322"/>
      <c r="AA65" s="321">
        <v>25500</v>
      </c>
      <c r="AB65" s="322">
        <v>500</v>
      </c>
      <c r="AC65" s="574">
        <v>39500</v>
      </c>
      <c r="AD65" s="321">
        <v>22500</v>
      </c>
      <c r="AE65" s="322"/>
      <c r="AF65" s="321">
        <v>10000</v>
      </c>
      <c r="AG65" s="321">
        <v>32500</v>
      </c>
      <c r="AH65" s="322">
        <v>500</v>
      </c>
      <c r="AI65" s="647">
        <v>55000</v>
      </c>
      <c r="AJ65" s="324">
        <v>183278</v>
      </c>
    </row>
    <row r="66" spans="1:37" s="82" customFormat="1" ht="15.75">
      <c r="A66" s="390"/>
      <c r="B66" s="391"/>
      <c r="C66" s="391"/>
      <c r="D66" s="391"/>
      <c r="E66" s="391"/>
      <c r="F66" s="516"/>
      <c r="G66" s="516"/>
      <c r="H66" s="391"/>
      <c r="I66" s="391"/>
      <c r="J66" s="391"/>
      <c r="K66" s="391"/>
      <c r="L66" s="392">
        <f>SUM(L36:L64)</f>
        <v>1500</v>
      </c>
      <c r="M66" s="392">
        <f t="shared" ref="M66:AF66" si="6">SUM(M36:M64)</f>
        <v>0</v>
      </c>
      <c r="N66" s="392">
        <f t="shared" si="6"/>
        <v>0</v>
      </c>
      <c r="O66" s="392">
        <f t="shared" si="6"/>
        <v>0</v>
      </c>
      <c r="P66" s="392">
        <f t="shared" si="6"/>
        <v>500</v>
      </c>
      <c r="Q66" s="575">
        <f>SUM(Q36:Q64)</f>
        <v>2000</v>
      </c>
      <c r="R66" s="392">
        <f t="shared" si="6"/>
        <v>68278</v>
      </c>
      <c r="S66" s="392">
        <f t="shared" si="6"/>
        <v>0</v>
      </c>
      <c r="T66" s="392">
        <f t="shared" si="6"/>
        <v>0</v>
      </c>
      <c r="U66" s="392">
        <f t="shared" si="6"/>
        <v>11500</v>
      </c>
      <c r="V66" s="392">
        <f t="shared" si="6"/>
        <v>500</v>
      </c>
      <c r="W66" s="575">
        <f>SUM(W36:W64)</f>
        <v>80278</v>
      </c>
      <c r="X66" s="392">
        <f>SUM(X36:X64)</f>
        <v>19000</v>
      </c>
      <c r="Y66" s="392">
        <f t="shared" si="6"/>
        <v>0</v>
      </c>
      <c r="Z66" s="392">
        <f t="shared" si="6"/>
        <v>0</v>
      </c>
      <c r="AA66" s="392">
        <f t="shared" si="6"/>
        <v>20500</v>
      </c>
      <c r="AB66" s="392">
        <f t="shared" si="6"/>
        <v>500</v>
      </c>
      <c r="AC66" s="575">
        <f>SUM(AC36:AC64)</f>
        <v>40000</v>
      </c>
      <c r="AD66" s="392">
        <f t="shared" si="6"/>
        <v>22500</v>
      </c>
      <c r="AE66" s="392">
        <f t="shared" si="6"/>
        <v>0</v>
      </c>
      <c r="AF66" s="392">
        <f t="shared" si="6"/>
        <v>10000</v>
      </c>
      <c r="AG66" s="392">
        <f>SUM(AG36:AG64)</f>
        <v>32500</v>
      </c>
      <c r="AH66" s="392">
        <f>SUM(AH36:AH64)</f>
        <v>500</v>
      </c>
      <c r="AI66" s="575">
        <f>SUM(AI36:AI64)</f>
        <v>65500</v>
      </c>
      <c r="AJ66" s="393">
        <f>SUM(AI66+AC66+W66+Q66)</f>
        <v>187778</v>
      </c>
      <c r="AK66" s="394"/>
    </row>
    <row r="67" spans="1:37">
      <c r="A67" s="137"/>
      <c r="B67" s="137"/>
      <c r="C67" s="137"/>
      <c r="D67" s="137"/>
      <c r="E67" s="137"/>
      <c r="F67" s="517"/>
      <c r="G67" s="517"/>
      <c r="H67" s="137"/>
      <c r="I67" s="137"/>
      <c r="J67" s="137"/>
      <c r="K67" s="137"/>
      <c r="L67" s="137"/>
      <c r="M67" s="137"/>
      <c r="N67" s="137"/>
      <c r="O67" s="137"/>
      <c r="P67" s="137"/>
      <c r="Q67" s="576">
        <f>SUM(L66:P66)</f>
        <v>2000</v>
      </c>
      <c r="R67" s="137"/>
      <c r="S67" s="137"/>
      <c r="T67" s="137"/>
      <c r="U67" s="137"/>
      <c r="V67" s="137"/>
      <c r="W67" s="576">
        <f>SUM(R66:V66)</f>
        <v>80278</v>
      </c>
      <c r="X67" s="137"/>
      <c r="Y67" s="137"/>
      <c r="Z67" s="137"/>
      <c r="AA67" s="137"/>
      <c r="AB67" s="137"/>
      <c r="AC67" s="576">
        <f>SUM(X66:AB66)</f>
        <v>40000</v>
      </c>
      <c r="AD67" s="137"/>
      <c r="AE67" s="137"/>
      <c r="AF67" s="137"/>
      <c r="AG67" s="137"/>
      <c r="AH67" s="409">
        <f>SUM(AD66:AH66)</f>
        <v>65500</v>
      </c>
      <c r="AJ67" s="401">
        <f>AI65+AC65+W65+Q65</f>
        <v>171778</v>
      </c>
    </row>
    <row r="68" spans="1:37">
      <c r="A68" s="138" t="s">
        <v>312</v>
      </c>
      <c r="B68" s="33"/>
      <c r="C68" s="33"/>
      <c r="D68" s="33"/>
      <c r="E68" s="33"/>
      <c r="F68" s="518"/>
      <c r="G68" s="518"/>
      <c r="H68" s="33"/>
      <c r="I68" s="33"/>
      <c r="J68" s="33"/>
      <c r="K68" s="137"/>
      <c r="L68" s="137"/>
      <c r="M68" s="137"/>
      <c r="N68" s="137"/>
      <c r="O68" s="137"/>
      <c r="P68" s="137"/>
      <c r="Q68" s="517"/>
      <c r="R68" s="137"/>
      <c r="S68" s="137"/>
      <c r="T68" s="137"/>
      <c r="U68" s="137"/>
      <c r="V68" s="137"/>
      <c r="W68" s="517"/>
      <c r="X68" s="137"/>
      <c r="Y68" s="137"/>
      <c r="Z68" s="137"/>
      <c r="AA68" s="137"/>
      <c r="AB68" s="137"/>
      <c r="AC68" s="517"/>
      <c r="AD68" s="137"/>
      <c r="AE68" s="137"/>
      <c r="AF68" s="137"/>
      <c r="AG68" s="137"/>
      <c r="AH68" s="137"/>
    </row>
    <row r="69" spans="1:37">
      <c r="A69" s="137"/>
      <c r="B69" s="1166"/>
      <c r="C69" s="1166"/>
      <c r="D69" s="1166"/>
      <c r="E69" s="1166"/>
      <c r="F69" s="1166"/>
      <c r="G69" s="1166"/>
      <c r="H69" s="1166"/>
      <c r="I69" s="1166"/>
      <c r="J69" s="84"/>
      <c r="K69" s="137"/>
      <c r="L69" s="137"/>
      <c r="M69" s="137"/>
      <c r="N69" s="137"/>
      <c r="O69" s="137"/>
      <c r="P69" s="137"/>
      <c r="Q69" s="517"/>
      <c r="R69" s="137"/>
      <c r="S69" s="137"/>
      <c r="T69" s="137"/>
      <c r="U69" s="137"/>
      <c r="V69" s="137"/>
      <c r="W69" s="517"/>
      <c r="X69" s="137"/>
      <c r="Y69" s="137"/>
      <c r="Z69" s="137"/>
      <c r="AA69" s="137"/>
      <c r="AB69" s="137"/>
      <c r="AC69" s="517"/>
      <c r="AD69" s="137"/>
      <c r="AE69" s="137"/>
      <c r="AF69" s="137"/>
      <c r="AG69" s="137"/>
      <c r="AH69" s="137"/>
    </row>
    <row r="70" spans="1:37" ht="15" customHeight="1">
      <c r="A70" s="1167"/>
      <c r="B70" s="452"/>
      <c r="C70" s="452"/>
      <c r="D70" s="1014" t="s">
        <v>0</v>
      </c>
      <c r="E70" s="1014" t="s">
        <v>210</v>
      </c>
      <c r="F70" s="1217" t="s">
        <v>5</v>
      </c>
      <c r="G70" s="1218"/>
      <c r="H70" s="1014" t="s">
        <v>22</v>
      </c>
      <c r="I70" s="1014" t="s">
        <v>211</v>
      </c>
      <c r="J70" s="1014" t="s">
        <v>212</v>
      </c>
      <c r="K70" s="1014" t="s">
        <v>213</v>
      </c>
      <c r="L70" s="1154" t="s">
        <v>214</v>
      </c>
      <c r="M70" s="1154"/>
      <c r="N70" s="1154"/>
      <c r="O70" s="1154"/>
      <c r="P70" s="1154"/>
      <c r="Q70" s="1154"/>
      <c r="R70" s="1154"/>
      <c r="S70" s="1154"/>
      <c r="T70" s="1154"/>
      <c r="U70" s="1154"/>
      <c r="V70" s="1154"/>
      <c r="W70" s="1154"/>
      <c r="X70" s="1154"/>
      <c r="Y70" s="1154"/>
      <c r="Z70" s="1154"/>
      <c r="AA70" s="1154"/>
      <c r="AB70" s="1154"/>
      <c r="AC70" s="1154"/>
      <c r="AD70" s="1154"/>
      <c r="AE70" s="1154"/>
      <c r="AF70" s="1154"/>
      <c r="AG70" s="1154"/>
      <c r="AH70" s="1154"/>
    </row>
    <row r="71" spans="1:37" ht="47.25">
      <c r="A71" s="1168"/>
      <c r="B71" s="453" t="s">
        <v>215</v>
      </c>
      <c r="C71" s="453" t="s">
        <v>216</v>
      </c>
      <c r="D71" s="1015"/>
      <c r="E71" s="1015"/>
      <c r="F71" s="1206" t="s">
        <v>217</v>
      </c>
      <c r="G71" s="1206" t="s">
        <v>6</v>
      </c>
      <c r="H71" s="1015"/>
      <c r="I71" s="1015"/>
      <c r="J71" s="1015"/>
      <c r="K71" s="1015"/>
      <c r="L71" s="1151" t="s">
        <v>12</v>
      </c>
      <c r="M71" s="1152"/>
      <c r="N71" s="1152"/>
      <c r="O71" s="1152"/>
      <c r="P71" s="1152"/>
      <c r="Q71" s="1152"/>
      <c r="R71" s="1151" t="s">
        <v>13</v>
      </c>
      <c r="S71" s="1152"/>
      <c r="T71" s="1152"/>
      <c r="U71" s="1152"/>
      <c r="V71" s="1152"/>
      <c r="W71" s="1152"/>
      <c r="X71" s="1153" t="s">
        <v>14</v>
      </c>
      <c r="Y71" s="1154"/>
      <c r="Z71" s="1154"/>
      <c r="AA71" s="1154"/>
      <c r="AB71" s="1154"/>
      <c r="AC71" s="1155"/>
      <c r="AD71" s="1151" t="s">
        <v>15</v>
      </c>
      <c r="AE71" s="1152"/>
      <c r="AF71" s="1152"/>
      <c r="AG71" s="1152"/>
      <c r="AH71" s="1152"/>
      <c r="AI71" s="643" t="s">
        <v>688</v>
      </c>
      <c r="AJ71" s="315" t="s">
        <v>689</v>
      </c>
    </row>
    <row r="72" spans="1:37" ht="25.5">
      <c r="A72" s="1169"/>
      <c r="B72" s="454"/>
      <c r="C72" s="454"/>
      <c r="D72" s="1016"/>
      <c r="E72" s="1016"/>
      <c r="F72" s="1207"/>
      <c r="G72" s="1207"/>
      <c r="H72" s="1016"/>
      <c r="I72" s="1016"/>
      <c r="J72" s="1016"/>
      <c r="K72" s="1016"/>
      <c r="L72" s="480" t="s">
        <v>1</v>
      </c>
      <c r="M72" s="480" t="s">
        <v>9</v>
      </c>
      <c r="N72" s="480" t="s">
        <v>218</v>
      </c>
      <c r="O72" s="460" t="s">
        <v>17</v>
      </c>
      <c r="P72" s="460" t="s">
        <v>19</v>
      </c>
      <c r="Q72" s="577" t="s">
        <v>4</v>
      </c>
      <c r="R72" s="480" t="s">
        <v>1</v>
      </c>
      <c r="S72" s="480" t="s">
        <v>2</v>
      </c>
      <c r="T72" s="480" t="s">
        <v>219</v>
      </c>
      <c r="U72" s="480" t="s">
        <v>17</v>
      </c>
      <c r="V72" s="480" t="s">
        <v>19</v>
      </c>
      <c r="W72" s="604" t="s">
        <v>4</v>
      </c>
      <c r="X72" s="480" t="s">
        <v>1</v>
      </c>
      <c r="Y72" s="480" t="s">
        <v>9</v>
      </c>
      <c r="Z72" s="480" t="s">
        <v>218</v>
      </c>
      <c r="AA72" s="460" t="s">
        <v>17</v>
      </c>
      <c r="AB72" s="460" t="s">
        <v>19</v>
      </c>
      <c r="AC72" s="577" t="s">
        <v>4</v>
      </c>
      <c r="AD72" s="480" t="s">
        <v>1</v>
      </c>
      <c r="AE72" s="480" t="s">
        <v>9</v>
      </c>
      <c r="AF72" s="480" t="s">
        <v>219</v>
      </c>
      <c r="AG72" s="460" t="s">
        <v>17</v>
      </c>
      <c r="AH72" s="460" t="s">
        <v>19</v>
      </c>
      <c r="AI72" s="644"/>
      <c r="AJ72" s="316"/>
    </row>
    <row r="73" spans="1:37" ht="15.75">
      <c r="A73" s="475"/>
      <c r="B73" s="454" t="s">
        <v>33</v>
      </c>
      <c r="C73" s="454" t="s">
        <v>34</v>
      </c>
      <c r="D73" s="450" t="s">
        <v>45</v>
      </c>
      <c r="E73" s="451" t="s">
        <v>220</v>
      </c>
      <c r="F73" s="519" t="s">
        <v>36</v>
      </c>
      <c r="G73" s="519" t="s">
        <v>37</v>
      </c>
      <c r="H73" s="454" t="s">
        <v>38</v>
      </c>
      <c r="I73" s="454" t="s">
        <v>39</v>
      </c>
      <c r="J73" s="455" t="s">
        <v>40</v>
      </c>
      <c r="K73" s="455" t="s">
        <v>41</v>
      </c>
      <c r="L73" s="11" t="s">
        <v>221</v>
      </c>
      <c r="M73" s="11" t="s">
        <v>222</v>
      </c>
      <c r="N73" s="11" t="s">
        <v>223</v>
      </c>
      <c r="O73" s="455" t="s">
        <v>224</v>
      </c>
      <c r="P73" s="455" t="s">
        <v>225</v>
      </c>
      <c r="Q73" s="613" t="s">
        <v>226</v>
      </c>
      <c r="R73" s="455" t="s">
        <v>227</v>
      </c>
      <c r="S73" s="455" t="s">
        <v>228</v>
      </c>
      <c r="T73" s="455" t="s">
        <v>229</v>
      </c>
      <c r="U73" s="455" t="s">
        <v>230</v>
      </c>
      <c r="V73" s="11" t="s">
        <v>231</v>
      </c>
      <c r="W73" s="578" t="s">
        <v>232</v>
      </c>
      <c r="X73" s="11" t="s">
        <v>233</v>
      </c>
      <c r="Y73" s="455" t="s">
        <v>234</v>
      </c>
      <c r="Z73" s="455" t="s">
        <v>235</v>
      </c>
      <c r="AA73" s="11" t="s">
        <v>236</v>
      </c>
      <c r="AB73" s="11" t="s">
        <v>237</v>
      </c>
      <c r="AC73" s="578" t="s">
        <v>238</v>
      </c>
      <c r="AD73" s="455" t="s">
        <v>239</v>
      </c>
      <c r="AE73" s="455" t="s">
        <v>240</v>
      </c>
      <c r="AF73" s="455" t="s">
        <v>241</v>
      </c>
      <c r="AG73" s="455" t="s">
        <v>242</v>
      </c>
      <c r="AH73" s="455" t="s">
        <v>243</v>
      </c>
      <c r="AI73" s="644"/>
      <c r="AJ73" s="313"/>
    </row>
    <row r="74" spans="1:37" ht="25.5">
      <c r="A74" s="4" t="s">
        <v>313</v>
      </c>
      <c r="B74" s="6"/>
      <c r="C74" s="6"/>
      <c r="D74" s="88"/>
      <c r="E74" s="88"/>
      <c r="F74" s="520"/>
      <c r="G74" s="521"/>
      <c r="H74" s="25"/>
      <c r="I74" s="25"/>
      <c r="J74" s="90"/>
      <c r="K74" s="4"/>
      <c r="L74" s="1"/>
      <c r="M74" s="1"/>
      <c r="N74" s="1"/>
      <c r="O74" s="1"/>
      <c r="P74" s="1"/>
      <c r="Q74" s="614">
        <f>SUM(L74:P74)</f>
        <v>0</v>
      </c>
      <c r="R74" s="1"/>
      <c r="S74" s="1"/>
      <c r="T74" s="1"/>
      <c r="U74" s="1"/>
      <c r="V74" s="1"/>
      <c r="W74" s="579"/>
      <c r="X74" s="2"/>
      <c r="Y74" s="2"/>
      <c r="Z74" s="2"/>
      <c r="AA74" s="2"/>
      <c r="AB74" s="2"/>
      <c r="AC74" s="579"/>
      <c r="AD74" s="1"/>
      <c r="AE74" s="1"/>
      <c r="AF74" s="1"/>
      <c r="AG74" s="1"/>
      <c r="AH74" s="1"/>
      <c r="AI74" s="644"/>
      <c r="AJ74" s="313"/>
    </row>
    <row r="75" spans="1:37" ht="38.25">
      <c r="A75" s="4" t="s">
        <v>314</v>
      </c>
      <c r="B75" s="6"/>
      <c r="C75" s="6"/>
      <c r="D75" s="91"/>
      <c r="E75" s="91"/>
      <c r="F75" s="522"/>
      <c r="G75" s="523"/>
      <c r="H75" s="92"/>
      <c r="I75" s="92"/>
      <c r="J75" s="92"/>
      <c r="K75" s="4"/>
      <c r="L75" s="1"/>
      <c r="M75" s="1"/>
      <c r="N75" s="1"/>
      <c r="O75" s="1"/>
      <c r="P75" s="1"/>
      <c r="Q75" s="615"/>
      <c r="R75" s="1"/>
      <c r="S75" s="1"/>
      <c r="T75" s="1"/>
      <c r="U75" s="1"/>
      <c r="V75" s="1"/>
      <c r="W75" s="580"/>
      <c r="X75" s="1"/>
      <c r="Y75" s="1"/>
      <c r="Z75" s="1"/>
      <c r="AA75" s="1"/>
      <c r="AB75" s="1"/>
      <c r="AC75" s="580"/>
      <c r="AD75" s="1"/>
      <c r="AE75" s="1"/>
      <c r="AF75" s="1"/>
      <c r="AG75" s="1"/>
      <c r="AH75" s="1"/>
      <c r="AI75" s="644"/>
      <c r="AJ75" s="313"/>
    </row>
    <row r="76" spans="1:37" ht="38.25">
      <c r="A76" s="4" t="s">
        <v>315</v>
      </c>
      <c r="B76" s="6"/>
      <c r="C76" s="6"/>
      <c r="D76" s="88"/>
      <c r="E76" s="93"/>
      <c r="F76" s="524"/>
      <c r="G76" s="523"/>
      <c r="H76" s="90"/>
      <c r="I76" s="90"/>
      <c r="J76" s="90"/>
      <c r="K76" s="4"/>
      <c r="L76" s="1"/>
      <c r="M76" s="467"/>
      <c r="N76" s="1"/>
      <c r="O76" s="1"/>
      <c r="P76" s="1"/>
      <c r="Q76" s="608"/>
      <c r="R76" s="1"/>
      <c r="S76" s="1"/>
      <c r="T76" s="1"/>
      <c r="U76" s="1"/>
      <c r="V76" s="1"/>
      <c r="W76" s="580"/>
      <c r="X76" s="1"/>
      <c r="Y76" s="1"/>
      <c r="Z76" s="1"/>
      <c r="AA76" s="1"/>
      <c r="AB76" s="1"/>
      <c r="AC76" s="580"/>
      <c r="AD76" s="1"/>
      <c r="AE76" s="1"/>
      <c r="AF76" s="1"/>
      <c r="AG76" s="1"/>
      <c r="AH76" s="1"/>
      <c r="AI76" s="644"/>
      <c r="AJ76" s="313"/>
    </row>
    <row r="77" spans="1:37" ht="89.25">
      <c r="A77" s="4" t="s">
        <v>316</v>
      </c>
      <c r="B77" s="6"/>
      <c r="C77" s="6"/>
      <c r="D77" s="92"/>
      <c r="E77" s="92"/>
      <c r="F77" s="523"/>
      <c r="G77" s="523"/>
      <c r="H77" s="92"/>
      <c r="I77" s="92"/>
      <c r="J77" s="92"/>
      <c r="K77" s="4"/>
      <c r="L77" s="1"/>
      <c r="M77" s="1"/>
      <c r="N77" s="1"/>
      <c r="O77" s="1"/>
      <c r="P77" s="1"/>
      <c r="Q77" s="615"/>
      <c r="R77" s="1"/>
      <c r="S77" s="1"/>
      <c r="T77" s="1"/>
      <c r="U77" s="1"/>
      <c r="V77" s="1"/>
      <c r="W77" s="580"/>
      <c r="X77" s="1"/>
      <c r="Y77" s="1"/>
      <c r="Z77" s="1"/>
      <c r="AA77" s="1"/>
      <c r="AB77" s="1"/>
      <c r="AC77" s="580"/>
      <c r="AD77" s="1"/>
      <c r="AE77" s="1"/>
      <c r="AF77" s="1"/>
      <c r="AG77" s="1"/>
      <c r="AH77" s="1"/>
      <c r="AI77" s="644"/>
      <c r="AJ77" s="313"/>
    </row>
    <row r="78" spans="1:37" ht="25.5">
      <c r="A78" s="4" t="s">
        <v>317</v>
      </c>
      <c r="B78" s="6"/>
      <c r="C78" s="6"/>
      <c r="D78" s="92"/>
      <c r="E78" s="92"/>
      <c r="F78" s="523"/>
      <c r="G78" s="523"/>
      <c r="H78" s="92"/>
      <c r="I78" s="92"/>
      <c r="J78" s="92"/>
      <c r="K78" s="4"/>
      <c r="L78" s="1"/>
      <c r="M78" s="97"/>
      <c r="N78" s="1"/>
      <c r="O78" s="1"/>
      <c r="P78" s="1"/>
      <c r="Q78" s="615"/>
      <c r="R78" s="1"/>
      <c r="S78" s="1"/>
      <c r="T78" s="1"/>
      <c r="U78" s="1"/>
      <c r="V78" s="1"/>
      <c r="W78" s="580"/>
      <c r="X78" s="1"/>
      <c r="Y78" s="1"/>
      <c r="Z78" s="1"/>
      <c r="AA78" s="1"/>
      <c r="AB78" s="1"/>
      <c r="AC78" s="580"/>
      <c r="AD78" s="1"/>
      <c r="AE78" s="1"/>
      <c r="AF78" s="1"/>
      <c r="AG78" s="1"/>
      <c r="AH78" s="1"/>
      <c r="AI78" s="644"/>
      <c r="AJ78" s="313"/>
    </row>
    <row r="79" spans="1:37" ht="114.75">
      <c r="A79" s="4" t="s">
        <v>318</v>
      </c>
      <c r="B79" s="6"/>
      <c r="C79" s="6"/>
      <c r="D79" s="98" t="s">
        <v>79</v>
      </c>
      <c r="E79" s="4" t="s">
        <v>78</v>
      </c>
      <c r="F79" s="525" t="s">
        <v>80</v>
      </c>
      <c r="G79" s="523"/>
      <c r="H79" s="100" t="s">
        <v>309</v>
      </c>
      <c r="I79" s="4" t="s">
        <v>319</v>
      </c>
      <c r="J79" s="4" t="s">
        <v>320</v>
      </c>
      <c r="K79" s="4"/>
      <c r="L79" s="364">
        <v>120000</v>
      </c>
      <c r="M79" s="1"/>
      <c r="N79" s="1"/>
      <c r="O79" s="1"/>
      <c r="P79" s="1"/>
      <c r="Q79" s="615">
        <f>SUM(L79:P79)</f>
        <v>120000</v>
      </c>
      <c r="R79" s="364">
        <v>126000</v>
      </c>
      <c r="S79" s="1"/>
      <c r="T79" s="1"/>
      <c r="U79" s="1"/>
      <c r="V79" s="1"/>
      <c r="W79" s="581">
        <f>SUM(R79:V79)</f>
        <v>126000</v>
      </c>
      <c r="X79" s="364">
        <v>132300</v>
      </c>
      <c r="Y79" s="1"/>
      <c r="Z79" s="1"/>
      <c r="AA79" s="1"/>
      <c r="AB79" s="1"/>
      <c r="AC79" s="581">
        <f>SUM(X79:AB79)</f>
        <v>132300</v>
      </c>
      <c r="AD79" s="403">
        <v>138920</v>
      </c>
      <c r="AE79" s="1"/>
      <c r="AF79" s="1"/>
      <c r="AG79" s="1"/>
      <c r="AH79" s="1"/>
      <c r="AI79" s="645">
        <f>SUM(AD79:AH79)</f>
        <v>138920</v>
      </c>
      <c r="AJ79" s="313"/>
    </row>
    <row r="80" spans="1:37" ht="216.75">
      <c r="A80" s="4" t="s">
        <v>321</v>
      </c>
      <c r="B80" s="4"/>
      <c r="C80" s="4"/>
      <c r="D80" s="98" t="s">
        <v>79</v>
      </c>
      <c r="E80" s="4" t="s">
        <v>322</v>
      </c>
      <c r="F80" s="525" t="s">
        <v>80</v>
      </c>
      <c r="G80" s="523"/>
      <c r="H80" s="100" t="s">
        <v>309</v>
      </c>
      <c r="I80" s="4" t="s">
        <v>319</v>
      </c>
      <c r="J80" s="4" t="s">
        <v>320</v>
      </c>
      <c r="K80" s="13"/>
      <c r="L80" s="365">
        <v>14000</v>
      </c>
      <c r="M80" s="101"/>
      <c r="N80" s="101"/>
      <c r="O80" s="101"/>
      <c r="P80" s="101"/>
      <c r="Q80" s="615">
        <f>SUM(L80:P80)</f>
        <v>14000</v>
      </c>
      <c r="R80" s="365">
        <v>50000</v>
      </c>
      <c r="S80" s="101"/>
      <c r="T80" s="101"/>
      <c r="U80" s="101"/>
      <c r="V80" s="101"/>
      <c r="W80" s="581">
        <f>SUM(R80:V80)</f>
        <v>50000</v>
      </c>
      <c r="X80" s="365">
        <v>100000</v>
      </c>
      <c r="Y80" s="101"/>
      <c r="Z80" s="101"/>
      <c r="AA80" s="101"/>
      <c r="AB80" s="101"/>
      <c r="AC80" s="581">
        <f>SUM(X80:AB80)</f>
        <v>100000</v>
      </c>
      <c r="AD80" s="402">
        <v>100</v>
      </c>
      <c r="AE80" s="101"/>
      <c r="AF80" s="101"/>
      <c r="AG80" s="101"/>
      <c r="AH80" s="101"/>
      <c r="AI80" s="645">
        <f>SUM(AD80:AH80)</f>
        <v>100</v>
      </c>
      <c r="AJ80" s="313"/>
    </row>
    <row r="81" spans="1:36" ht="127.5">
      <c r="A81" s="4" t="s">
        <v>323</v>
      </c>
      <c r="B81" s="4"/>
      <c r="C81" s="4"/>
      <c r="D81" s="90" t="s">
        <v>324</v>
      </c>
      <c r="E81" s="4" t="s">
        <v>325</v>
      </c>
      <c r="F81" s="525" t="s">
        <v>326</v>
      </c>
      <c r="G81" s="526" t="s">
        <v>698</v>
      </c>
      <c r="H81" s="100" t="s">
        <v>309</v>
      </c>
      <c r="I81" s="4" t="s">
        <v>319</v>
      </c>
      <c r="J81" s="4" t="s">
        <v>320</v>
      </c>
      <c r="K81" s="4"/>
      <c r="L81" s="365">
        <v>10000</v>
      </c>
      <c r="M81" s="101"/>
      <c r="N81" s="101"/>
      <c r="O81" s="101"/>
      <c r="P81" s="101"/>
      <c r="Q81" s="615">
        <f>SUM(L81:P81)</f>
        <v>10000</v>
      </c>
      <c r="R81" s="365">
        <v>5000</v>
      </c>
      <c r="S81" s="101"/>
      <c r="T81" s="101"/>
      <c r="U81" s="101"/>
      <c r="V81" s="101"/>
      <c r="W81" s="581">
        <f>SUM(R81:V81)</f>
        <v>5000</v>
      </c>
      <c r="X81" s="365">
        <v>5000</v>
      </c>
      <c r="Y81" s="101"/>
      <c r="Z81" s="101"/>
      <c r="AA81" s="101"/>
      <c r="AB81" s="101"/>
      <c r="AC81" s="581">
        <f>SUM(X81:AB81)</f>
        <v>5000</v>
      </c>
      <c r="AD81" s="402">
        <v>5000</v>
      </c>
      <c r="AE81" s="101"/>
      <c r="AF81" s="101"/>
      <c r="AG81" s="101"/>
      <c r="AH81" s="101"/>
      <c r="AI81" s="645">
        <f>SUM(AD81:AH81)</f>
        <v>5000</v>
      </c>
      <c r="AJ81" s="313"/>
    </row>
    <row r="82" spans="1:36" ht="25.5">
      <c r="A82" s="4" t="s">
        <v>327</v>
      </c>
      <c r="B82" s="4"/>
      <c r="C82" s="4"/>
      <c r="D82" s="6"/>
      <c r="E82" s="6"/>
      <c r="F82" s="523"/>
      <c r="G82" s="527"/>
      <c r="H82" s="6"/>
      <c r="I82" s="6"/>
      <c r="J82" s="6"/>
      <c r="K82" s="4"/>
      <c r="L82" s="101"/>
      <c r="M82" s="101"/>
      <c r="N82" s="101"/>
      <c r="O82" s="101"/>
      <c r="P82" s="101"/>
      <c r="Q82" s="616">
        <f>SUM(L82:P82)</f>
        <v>0</v>
      </c>
      <c r="R82" s="101"/>
      <c r="S82" s="101"/>
      <c r="T82" s="101"/>
      <c r="U82" s="101"/>
      <c r="V82" s="101"/>
      <c r="W82" s="581">
        <f>SUM(R82:V82)</f>
        <v>0</v>
      </c>
      <c r="X82" s="101"/>
      <c r="Y82" s="101"/>
      <c r="Z82" s="101"/>
      <c r="AA82" s="101"/>
      <c r="AB82" s="101"/>
      <c r="AC82" s="581">
        <f>SUM(X82:AB82)</f>
        <v>0</v>
      </c>
      <c r="AD82" s="402"/>
      <c r="AE82" s="101"/>
      <c r="AF82" s="101"/>
      <c r="AG82" s="101"/>
      <c r="AH82" s="101"/>
      <c r="AI82" s="645">
        <f>SUM(AD82:AH82)</f>
        <v>0</v>
      </c>
      <c r="AJ82" s="313"/>
    </row>
    <row r="83" spans="1:36" ht="242.25">
      <c r="A83" s="4" t="s">
        <v>328</v>
      </c>
      <c r="B83" s="6"/>
      <c r="C83" s="6"/>
      <c r="D83" s="90" t="s">
        <v>329</v>
      </c>
      <c r="E83" s="4" t="s">
        <v>330</v>
      </c>
      <c r="F83" s="525" t="s">
        <v>80</v>
      </c>
      <c r="G83" s="528"/>
      <c r="H83" s="100" t="s">
        <v>309</v>
      </c>
      <c r="I83" s="4" t="s">
        <v>319</v>
      </c>
      <c r="J83" s="4" t="s">
        <v>320</v>
      </c>
      <c r="K83" s="4"/>
      <c r="L83" s="365">
        <v>15000</v>
      </c>
      <c r="M83" s="101"/>
      <c r="N83" s="101"/>
      <c r="O83" s="101"/>
      <c r="P83" s="101"/>
      <c r="Q83" s="616">
        <f>SUM(L83:P83)</f>
        <v>15000</v>
      </c>
      <c r="R83" s="365">
        <v>10000</v>
      </c>
      <c r="S83" s="101"/>
      <c r="T83" s="101"/>
      <c r="U83" s="101"/>
      <c r="V83" s="101"/>
      <c r="W83" s="581">
        <f>SUM(R83:V83)</f>
        <v>10000</v>
      </c>
      <c r="X83" s="365">
        <v>10000</v>
      </c>
      <c r="Y83" s="101"/>
      <c r="Z83" s="101"/>
      <c r="AA83" s="101"/>
      <c r="AB83" s="101"/>
      <c r="AC83" s="581">
        <f>SUM(X83:AB83)</f>
        <v>10000</v>
      </c>
      <c r="AD83" s="402">
        <v>5000</v>
      </c>
      <c r="AE83" s="101"/>
      <c r="AF83" s="101"/>
      <c r="AG83" s="101"/>
      <c r="AH83" s="101"/>
      <c r="AI83" s="645">
        <f>SUM(AD83:AH83)</f>
        <v>5000</v>
      </c>
      <c r="AJ83" s="313"/>
    </row>
    <row r="84" spans="1:36" ht="51">
      <c r="A84" s="4" t="s">
        <v>331</v>
      </c>
      <c r="B84" s="6"/>
      <c r="C84" s="6"/>
      <c r="D84" s="91"/>
      <c r="E84" s="91"/>
      <c r="F84" s="522"/>
      <c r="G84" s="523"/>
      <c r="H84" s="92"/>
      <c r="I84" s="92"/>
      <c r="J84" s="92"/>
      <c r="K84" s="4"/>
      <c r="L84" s="1"/>
      <c r="M84" s="1"/>
      <c r="N84" s="1"/>
      <c r="O84" s="1"/>
      <c r="P84" s="1"/>
      <c r="Q84" s="615"/>
      <c r="R84" s="1"/>
      <c r="S84" s="1"/>
      <c r="T84" s="1"/>
      <c r="U84" s="1"/>
      <c r="V84" s="1"/>
      <c r="W84" s="580"/>
      <c r="X84" s="1"/>
      <c r="Y84" s="1"/>
      <c r="Z84" s="1"/>
      <c r="AA84" s="1"/>
      <c r="AB84" s="1"/>
      <c r="AC84" s="580"/>
      <c r="AD84" s="403"/>
      <c r="AE84" s="1"/>
      <c r="AF84" s="1"/>
      <c r="AG84" s="1"/>
      <c r="AH84" s="1"/>
      <c r="AI84" s="644"/>
      <c r="AJ84" s="313"/>
    </row>
    <row r="85" spans="1:36" ht="63.75">
      <c r="A85" s="13" t="s">
        <v>332</v>
      </c>
      <c r="B85" s="6"/>
      <c r="C85" s="6"/>
      <c r="D85" s="92"/>
      <c r="E85" s="92"/>
      <c r="F85" s="523"/>
      <c r="G85" s="523"/>
      <c r="H85" s="92"/>
      <c r="I85" s="92"/>
      <c r="J85" s="92"/>
      <c r="K85" s="4"/>
      <c r="L85" s="1"/>
      <c r="M85" s="1"/>
      <c r="N85" s="1"/>
      <c r="O85" s="1"/>
      <c r="P85" s="1"/>
      <c r="Q85" s="615"/>
      <c r="R85" s="1"/>
      <c r="S85" s="1"/>
      <c r="T85" s="1"/>
      <c r="U85" s="1"/>
      <c r="V85" s="1"/>
      <c r="W85" s="580"/>
      <c r="X85" s="1"/>
      <c r="Y85" s="1"/>
      <c r="Z85" s="1"/>
      <c r="AA85" s="1"/>
      <c r="AB85" s="1"/>
      <c r="AC85" s="580"/>
      <c r="AD85" s="403"/>
      <c r="AE85" s="1"/>
      <c r="AF85" s="1"/>
      <c r="AG85" s="1"/>
      <c r="AH85" s="1"/>
      <c r="AI85" s="644"/>
      <c r="AJ85" s="313"/>
    </row>
    <row r="86" spans="1:36" ht="63.75">
      <c r="A86" s="4" t="s">
        <v>333</v>
      </c>
      <c r="B86" s="6"/>
      <c r="C86" s="6"/>
      <c r="D86" s="1137" t="s">
        <v>334</v>
      </c>
      <c r="E86" s="1137" t="s">
        <v>335</v>
      </c>
      <c r="F86" s="1208" t="s">
        <v>80</v>
      </c>
      <c r="G86" s="1211"/>
      <c r="H86" s="448" t="s">
        <v>395</v>
      </c>
      <c r="I86" s="1137" t="s">
        <v>336</v>
      </c>
      <c r="J86" s="1147" t="s">
        <v>320</v>
      </c>
      <c r="K86" s="1064"/>
      <c r="L86" s="1068">
        <v>18000</v>
      </c>
      <c r="M86" s="1064"/>
      <c r="N86" s="1064"/>
      <c r="O86" s="1064"/>
      <c r="P86" s="1064"/>
      <c r="Q86" s="1203">
        <f>SUM(L86:P89)</f>
        <v>18000</v>
      </c>
      <c r="R86" s="1068">
        <v>26550</v>
      </c>
      <c r="S86" s="1064"/>
      <c r="T86" s="1064"/>
      <c r="U86" s="1064"/>
      <c r="V86" s="1064"/>
      <c r="W86" s="1203">
        <f>SUM(R86:V89)</f>
        <v>26550</v>
      </c>
      <c r="X86" s="1068">
        <v>29300</v>
      </c>
      <c r="Y86" s="1064"/>
      <c r="Z86" s="1064"/>
      <c r="AA86" s="1064"/>
      <c r="AB86" s="1064"/>
      <c r="AC86" s="1214">
        <f>SUM(X86:AB89)</f>
        <v>29300</v>
      </c>
      <c r="AD86" s="1061">
        <v>29300</v>
      </c>
      <c r="AE86" s="1064"/>
      <c r="AF86" s="1064"/>
      <c r="AG86" s="1064"/>
      <c r="AH86" s="1064"/>
      <c r="AI86" s="648">
        <f>SUM(AD86:AH89)</f>
        <v>29300</v>
      </c>
      <c r="AJ86" s="313"/>
    </row>
    <row r="87" spans="1:36" ht="25.5">
      <c r="A87" s="4" t="s">
        <v>337</v>
      </c>
      <c r="B87" s="6"/>
      <c r="C87" s="6"/>
      <c r="D87" s="1138"/>
      <c r="E87" s="1139"/>
      <c r="F87" s="1209"/>
      <c r="G87" s="1212"/>
      <c r="H87" s="449"/>
      <c r="I87" s="1139"/>
      <c r="J87" s="1201"/>
      <c r="K87" s="1059"/>
      <c r="L87" s="1069"/>
      <c r="M87" s="1059"/>
      <c r="N87" s="1059"/>
      <c r="O87" s="1059"/>
      <c r="P87" s="1059"/>
      <c r="Q87" s="1204"/>
      <c r="R87" s="1069"/>
      <c r="S87" s="1059"/>
      <c r="T87" s="1059"/>
      <c r="U87" s="1059"/>
      <c r="V87" s="1059"/>
      <c r="W87" s="1204"/>
      <c r="X87" s="1069"/>
      <c r="Y87" s="1059"/>
      <c r="Z87" s="1059"/>
      <c r="AA87" s="1059"/>
      <c r="AB87" s="1059"/>
      <c r="AC87" s="1215"/>
      <c r="AD87" s="1062"/>
      <c r="AE87" s="1059"/>
      <c r="AF87" s="1059"/>
      <c r="AG87" s="1059"/>
      <c r="AH87" s="1059"/>
      <c r="AI87" s="644"/>
      <c r="AJ87" s="313"/>
    </row>
    <row r="88" spans="1:36" ht="25.5">
      <c r="A88" s="4" t="s">
        <v>338</v>
      </c>
      <c r="B88" s="4"/>
      <c r="C88" s="4"/>
      <c r="D88" s="1137" t="s">
        <v>334</v>
      </c>
      <c r="E88" s="1139"/>
      <c r="F88" s="1209"/>
      <c r="G88" s="1212"/>
      <c r="H88" s="449"/>
      <c r="I88" s="1139"/>
      <c r="J88" s="1201"/>
      <c r="K88" s="1059"/>
      <c r="L88" s="1069"/>
      <c r="M88" s="1059"/>
      <c r="N88" s="1059"/>
      <c r="O88" s="1059"/>
      <c r="P88" s="1059"/>
      <c r="Q88" s="1204"/>
      <c r="R88" s="1069"/>
      <c r="S88" s="1059"/>
      <c r="T88" s="1059"/>
      <c r="U88" s="1059"/>
      <c r="V88" s="1059"/>
      <c r="W88" s="1204"/>
      <c r="X88" s="1069"/>
      <c r="Y88" s="1059"/>
      <c r="Z88" s="1059"/>
      <c r="AA88" s="1059"/>
      <c r="AB88" s="1059"/>
      <c r="AC88" s="1215"/>
      <c r="AD88" s="1062"/>
      <c r="AE88" s="1059"/>
      <c r="AF88" s="1059"/>
      <c r="AG88" s="1059"/>
      <c r="AH88" s="1059"/>
      <c r="AI88" s="644"/>
      <c r="AJ88" s="313"/>
    </row>
    <row r="89" spans="1:36" ht="25.5">
      <c r="A89" s="4" t="s">
        <v>337</v>
      </c>
      <c r="B89" s="6"/>
      <c r="C89" s="6"/>
      <c r="D89" s="1150"/>
      <c r="E89" s="1140"/>
      <c r="F89" s="1210"/>
      <c r="G89" s="1213"/>
      <c r="H89" s="165"/>
      <c r="I89" s="1140"/>
      <c r="J89" s="1202"/>
      <c r="K89" s="1060"/>
      <c r="L89" s="1070"/>
      <c r="M89" s="1060"/>
      <c r="N89" s="1060"/>
      <c r="O89" s="1060"/>
      <c r="P89" s="1060"/>
      <c r="Q89" s="1205"/>
      <c r="R89" s="1070"/>
      <c r="S89" s="1060"/>
      <c r="T89" s="1060"/>
      <c r="U89" s="1060"/>
      <c r="V89" s="1060"/>
      <c r="W89" s="1205"/>
      <c r="X89" s="1070"/>
      <c r="Y89" s="1060"/>
      <c r="Z89" s="1060"/>
      <c r="AA89" s="1060"/>
      <c r="AB89" s="1060"/>
      <c r="AC89" s="1216"/>
      <c r="AD89" s="1063"/>
      <c r="AE89" s="1060"/>
      <c r="AF89" s="1060"/>
      <c r="AG89" s="1060"/>
      <c r="AH89" s="1060"/>
      <c r="AI89" s="644"/>
      <c r="AJ89" s="313"/>
    </row>
    <row r="90" spans="1:36" ht="15.75">
      <c r="A90" s="14"/>
      <c r="B90" s="14"/>
      <c r="C90" s="14"/>
      <c r="D90" s="92"/>
      <c r="E90" s="92"/>
      <c r="F90" s="523"/>
      <c r="G90" s="523"/>
      <c r="H90" s="92"/>
      <c r="I90" s="92"/>
      <c r="J90" s="92"/>
      <c r="K90" s="4"/>
      <c r="L90" s="101"/>
      <c r="M90" s="101"/>
      <c r="N90" s="101"/>
      <c r="O90" s="101"/>
      <c r="P90" s="101"/>
      <c r="Q90" s="617"/>
      <c r="R90" s="101"/>
      <c r="S90" s="101"/>
      <c r="T90" s="101"/>
      <c r="U90" s="101"/>
      <c r="V90" s="101"/>
      <c r="W90" s="582"/>
      <c r="X90" s="101"/>
      <c r="Y90" s="101"/>
      <c r="Z90" s="101"/>
      <c r="AA90" s="101"/>
      <c r="AB90" s="101"/>
      <c r="AC90" s="582"/>
      <c r="AD90" s="402"/>
      <c r="AE90" s="101"/>
      <c r="AF90" s="101"/>
      <c r="AG90" s="101"/>
      <c r="AH90" s="101"/>
      <c r="AI90" s="644"/>
      <c r="AJ90" s="313"/>
    </row>
    <row r="91" spans="1:36" ht="15.75">
      <c r="A91" s="4"/>
      <c r="B91" s="4"/>
      <c r="C91" s="4"/>
      <c r="D91" s="92"/>
      <c r="E91" s="92"/>
      <c r="F91" s="523"/>
      <c r="G91" s="523"/>
      <c r="H91" s="92"/>
      <c r="I91" s="92"/>
      <c r="J91" s="92"/>
      <c r="K91" s="4"/>
      <c r="L91" s="101"/>
      <c r="M91" s="101"/>
      <c r="N91" s="101"/>
      <c r="O91" s="101"/>
      <c r="P91" s="101"/>
      <c r="Q91" s="617"/>
      <c r="R91" s="101"/>
      <c r="S91" s="101"/>
      <c r="T91" s="101"/>
      <c r="U91" s="101"/>
      <c r="V91" s="101"/>
      <c r="W91" s="582"/>
      <c r="X91" s="101"/>
      <c r="Y91" s="101"/>
      <c r="Z91" s="101"/>
      <c r="AA91" s="101"/>
      <c r="AB91" s="101"/>
      <c r="AC91" s="582"/>
      <c r="AD91" s="402"/>
      <c r="AE91" s="101"/>
      <c r="AF91" s="101"/>
      <c r="AG91" s="101"/>
      <c r="AH91" s="101"/>
      <c r="AI91" s="644"/>
      <c r="AJ91" s="313"/>
    </row>
    <row r="92" spans="1:36" ht="15.75">
      <c r="A92" s="26" t="s">
        <v>276</v>
      </c>
      <c r="B92" s="26"/>
      <c r="C92" s="26"/>
      <c r="D92" s="91"/>
      <c r="E92" s="91"/>
      <c r="F92" s="522"/>
      <c r="G92" s="523"/>
      <c r="H92" s="92"/>
      <c r="I92" s="92"/>
      <c r="J92" s="92"/>
      <c r="K92" s="4"/>
      <c r="L92" s="366">
        <v>177000</v>
      </c>
      <c r="M92" s="101"/>
      <c r="N92" s="101"/>
      <c r="O92" s="101"/>
      <c r="P92" s="101"/>
      <c r="Q92" s="618"/>
      <c r="R92" s="366">
        <v>217550</v>
      </c>
      <c r="S92" s="101"/>
      <c r="T92" s="101"/>
      <c r="U92" s="101"/>
      <c r="V92" s="101"/>
      <c r="W92" s="583"/>
      <c r="X92" s="366">
        <v>276600</v>
      </c>
      <c r="Y92" s="102"/>
      <c r="Z92" s="102"/>
      <c r="AA92" s="102"/>
      <c r="AB92" s="102"/>
      <c r="AC92" s="583"/>
      <c r="AD92" s="366">
        <v>278220</v>
      </c>
      <c r="AE92" s="101"/>
      <c r="AF92" s="101"/>
      <c r="AG92" s="101"/>
      <c r="AH92" s="101"/>
      <c r="AI92" s="649">
        <v>278202</v>
      </c>
      <c r="AJ92" s="325">
        <v>949370</v>
      </c>
    </row>
    <row r="93" spans="1:36" ht="15.75">
      <c r="A93" s="103"/>
      <c r="B93" s="103"/>
      <c r="C93" s="103"/>
      <c r="D93" s="137"/>
      <c r="E93" s="137"/>
      <c r="F93" s="517"/>
      <c r="G93" s="517"/>
      <c r="H93" s="137"/>
      <c r="I93" s="137"/>
      <c r="J93" s="137"/>
      <c r="K93" s="137"/>
      <c r="L93" s="405">
        <f>SUM(L74:L91)</f>
        <v>177000</v>
      </c>
      <c r="M93" s="405">
        <f t="shared" ref="M93:AH93" si="7">SUM(M74:M91)</f>
        <v>0</v>
      </c>
      <c r="N93" s="405">
        <f t="shared" si="7"/>
        <v>0</v>
      </c>
      <c r="O93" s="405">
        <f t="shared" si="7"/>
        <v>0</v>
      </c>
      <c r="P93" s="405">
        <f t="shared" si="7"/>
        <v>0</v>
      </c>
      <c r="Q93" s="584">
        <f>SUM(Q74:Q91)</f>
        <v>177000</v>
      </c>
      <c r="R93" s="405">
        <f t="shared" si="7"/>
        <v>217550</v>
      </c>
      <c r="S93" s="405">
        <f t="shared" si="7"/>
        <v>0</v>
      </c>
      <c r="T93" s="405">
        <f t="shared" si="7"/>
        <v>0</v>
      </c>
      <c r="U93" s="405">
        <f t="shared" si="7"/>
        <v>0</v>
      </c>
      <c r="V93" s="405">
        <f t="shared" si="7"/>
        <v>0</v>
      </c>
      <c r="W93" s="584">
        <f>SUM(W74:W91)</f>
        <v>217550</v>
      </c>
      <c r="X93" s="405">
        <f t="shared" si="7"/>
        <v>276600</v>
      </c>
      <c r="Y93" s="405">
        <f t="shared" si="7"/>
        <v>0</v>
      </c>
      <c r="Z93" s="405">
        <f t="shared" si="7"/>
        <v>0</v>
      </c>
      <c r="AA93" s="405">
        <f t="shared" si="7"/>
        <v>0</v>
      </c>
      <c r="AB93" s="405">
        <f t="shared" si="7"/>
        <v>0</v>
      </c>
      <c r="AC93" s="584">
        <f t="shared" si="7"/>
        <v>276600</v>
      </c>
      <c r="AD93" s="405">
        <f>SUM(AD74:AD91)</f>
        <v>178320</v>
      </c>
      <c r="AE93" s="405">
        <f t="shared" si="7"/>
        <v>0</v>
      </c>
      <c r="AF93" s="405">
        <f t="shared" si="7"/>
        <v>0</v>
      </c>
      <c r="AG93" s="405">
        <f t="shared" si="7"/>
        <v>0</v>
      </c>
      <c r="AH93" s="405">
        <f t="shared" si="7"/>
        <v>0</v>
      </c>
      <c r="AI93" s="584">
        <f>SUM(AI74:AI91)</f>
        <v>178320</v>
      </c>
      <c r="AJ93" s="412">
        <f>SUM(AI93+AC93+W93+Q93)</f>
        <v>849470</v>
      </c>
    </row>
    <row r="94" spans="1:36" ht="15.75">
      <c r="A94" s="137"/>
      <c r="B94" s="137"/>
      <c r="C94" s="137"/>
      <c r="D94" s="137"/>
      <c r="E94" s="137"/>
      <c r="F94" s="517"/>
      <c r="G94" s="517"/>
      <c r="H94" s="137"/>
      <c r="I94" s="137"/>
      <c r="J94" s="137"/>
      <c r="K94" s="137"/>
      <c r="L94" s="137"/>
      <c r="M94" s="137"/>
      <c r="N94" s="137"/>
      <c r="O94" s="137"/>
      <c r="P94" s="137"/>
      <c r="Q94" s="517"/>
      <c r="R94" s="137"/>
      <c r="S94" s="137"/>
      <c r="T94" s="137"/>
      <c r="U94" s="137"/>
      <c r="V94" s="137"/>
      <c r="W94" s="517"/>
      <c r="X94" s="137"/>
      <c r="Y94" s="137"/>
      <c r="Z94" s="137"/>
      <c r="AA94" s="137"/>
      <c r="AB94" s="137"/>
      <c r="AC94" s="517"/>
      <c r="AD94" s="137"/>
      <c r="AE94" s="137"/>
      <c r="AF94" s="137"/>
      <c r="AG94" s="137"/>
      <c r="AH94" s="137"/>
      <c r="AI94" s="650"/>
      <c r="AJ94" s="318"/>
    </row>
    <row r="95" spans="1:36" s="83" customFormat="1" ht="15.75">
      <c r="A95" s="138" t="s">
        <v>339</v>
      </c>
      <c r="B95" s="137"/>
      <c r="C95" s="137"/>
      <c r="D95" s="137"/>
      <c r="E95" s="137"/>
      <c r="F95" s="517"/>
      <c r="G95" s="517"/>
      <c r="H95" s="137"/>
      <c r="I95" s="137"/>
      <c r="J95" s="137"/>
      <c r="K95" s="137"/>
      <c r="L95" s="137"/>
      <c r="M95" s="137"/>
      <c r="N95" s="137"/>
      <c r="O95" s="137"/>
      <c r="P95" s="137"/>
      <c r="Q95" s="517"/>
      <c r="R95" s="137"/>
      <c r="S95" s="137"/>
      <c r="T95" s="137"/>
      <c r="U95" s="137"/>
      <c r="V95" s="137"/>
      <c r="W95" s="517"/>
      <c r="X95" s="137"/>
      <c r="Y95" s="137"/>
      <c r="Z95" s="137"/>
      <c r="AA95" s="137"/>
      <c r="AB95" s="137"/>
      <c r="AC95" s="517"/>
      <c r="AD95" s="137"/>
      <c r="AE95" s="137"/>
      <c r="AF95" s="137"/>
      <c r="AG95" s="137"/>
      <c r="AH95" s="137"/>
      <c r="AI95" s="651"/>
    </row>
    <row r="96" spans="1:36" s="83" customFormat="1" ht="15.75">
      <c r="A96" s="137"/>
      <c r="B96" s="137"/>
      <c r="C96" s="137"/>
      <c r="D96" s="137"/>
      <c r="E96" s="137"/>
      <c r="F96" s="517"/>
      <c r="G96" s="517"/>
      <c r="H96" s="137"/>
      <c r="I96" s="137"/>
      <c r="J96" s="137"/>
      <c r="K96" s="137"/>
      <c r="L96" s="137"/>
      <c r="M96" s="137"/>
      <c r="N96" s="137"/>
      <c r="O96" s="137"/>
      <c r="P96" s="137"/>
      <c r="Q96" s="517"/>
      <c r="R96" s="137"/>
      <c r="S96" s="137"/>
      <c r="T96" s="137"/>
      <c r="U96" s="137"/>
      <c r="V96" s="137"/>
      <c r="W96" s="517"/>
      <c r="X96" s="137"/>
      <c r="Y96" s="137"/>
      <c r="Z96" s="137"/>
      <c r="AA96" s="137"/>
      <c r="AB96" s="137"/>
      <c r="AC96" s="517"/>
      <c r="AD96" s="137"/>
      <c r="AE96" s="137"/>
      <c r="AF96" s="137"/>
      <c r="AG96" s="137"/>
      <c r="AH96" s="137"/>
      <c r="AI96" s="651"/>
    </row>
    <row r="97" spans="1:36" s="83" customFormat="1" ht="47.25" customHeight="1">
      <c r="A97" s="479"/>
      <c r="B97" s="468"/>
      <c r="C97" s="468"/>
      <c r="D97" s="1100" t="s">
        <v>0</v>
      </c>
      <c r="E97" s="1100" t="s">
        <v>340</v>
      </c>
      <c r="F97" s="1191" t="s">
        <v>5</v>
      </c>
      <c r="G97" s="1191"/>
      <c r="H97" s="1084" t="s">
        <v>22</v>
      </c>
      <c r="I97" s="1084" t="s">
        <v>211</v>
      </c>
      <c r="J97" s="1084" t="s">
        <v>212</v>
      </c>
      <c r="K97" s="1084" t="s">
        <v>213</v>
      </c>
      <c r="L97" s="1072" t="s">
        <v>214</v>
      </c>
      <c r="M97" s="1072"/>
      <c r="N97" s="1072"/>
      <c r="O97" s="1072"/>
      <c r="P97" s="1072"/>
      <c r="Q97" s="1072"/>
      <c r="R97" s="1072"/>
      <c r="S97" s="1072"/>
      <c r="T97" s="1072"/>
      <c r="U97" s="1072"/>
      <c r="V97" s="1072"/>
      <c r="W97" s="1072"/>
      <c r="X97" s="1072"/>
      <c r="Y97" s="1072"/>
      <c r="Z97" s="1072"/>
      <c r="AA97" s="1072"/>
      <c r="AB97" s="1072"/>
      <c r="AC97" s="1072"/>
      <c r="AD97" s="1072"/>
      <c r="AE97" s="1072"/>
      <c r="AF97" s="1072"/>
      <c r="AG97" s="1072"/>
      <c r="AH97" s="1072"/>
      <c r="AI97" s="643" t="s">
        <v>688</v>
      </c>
      <c r="AJ97" s="315" t="s">
        <v>689</v>
      </c>
    </row>
    <row r="98" spans="1:36" s="83" customFormat="1" ht="38.25">
      <c r="A98" s="1103" t="s">
        <v>341</v>
      </c>
      <c r="B98" s="468" t="s">
        <v>215</v>
      </c>
      <c r="C98" s="468" t="s">
        <v>279</v>
      </c>
      <c r="D98" s="1100"/>
      <c r="E98" s="1106"/>
      <c r="F98" s="1190" t="s">
        <v>217</v>
      </c>
      <c r="G98" s="1190" t="s">
        <v>6</v>
      </c>
      <c r="H98" s="1085"/>
      <c r="I98" s="1085"/>
      <c r="J98" s="1085"/>
      <c r="K98" s="1085"/>
      <c r="L98" s="1071" t="s">
        <v>12</v>
      </c>
      <c r="M98" s="1072"/>
      <c r="N98" s="1072"/>
      <c r="O98" s="1072"/>
      <c r="P98" s="1072"/>
      <c r="Q98" s="1072"/>
      <c r="R98" s="1071" t="s">
        <v>13</v>
      </c>
      <c r="S98" s="1072"/>
      <c r="T98" s="1072"/>
      <c r="U98" s="1072"/>
      <c r="V98" s="1072"/>
      <c r="W98" s="1072"/>
      <c r="X98" s="1071" t="s">
        <v>14</v>
      </c>
      <c r="Y98" s="1072"/>
      <c r="Z98" s="1072"/>
      <c r="AA98" s="1072"/>
      <c r="AB98" s="1072"/>
      <c r="AC98" s="1072"/>
      <c r="AD98" s="1071" t="s">
        <v>15</v>
      </c>
      <c r="AE98" s="1072"/>
      <c r="AF98" s="1072"/>
      <c r="AG98" s="1072"/>
      <c r="AH98" s="1072"/>
      <c r="AI98" s="644"/>
      <c r="AJ98" s="316"/>
    </row>
    <row r="99" spans="1:36" s="83" customFormat="1" ht="15.75">
      <c r="A99" s="1104"/>
      <c r="B99" s="468"/>
      <c r="C99" s="468"/>
      <c r="D99" s="1100"/>
      <c r="E99" s="1106"/>
      <c r="F99" s="1190"/>
      <c r="G99" s="1190"/>
      <c r="H99" s="1086"/>
      <c r="I99" s="1086"/>
      <c r="J99" s="1086"/>
      <c r="K99" s="1086"/>
      <c r="L99" s="467" t="s">
        <v>1</v>
      </c>
      <c r="M99" s="467" t="s">
        <v>9</v>
      </c>
      <c r="N99" s="467" t="s">
        <v>218</v>
      </c>
      <c r="O99" s="140" t="s">
        <v>17</v>
      </c>
      <c r="P99" s="140" t="s">
        <v>19</v>
      </c>
      <c r="Q99" s="585" t="s">
        <v>4</v>
      </c>
      <c r="R99" s="467" t="s">
        <v>1</v>
      </c>
      <c r="S99" s="467" t="s">
        <v>2</v>
      </c>
      <c r="T99" s="467" t="s">
        <v>219</v>
      </c>
      <c r="U99" s="467" t="s">
        <v>17</v>
      </c>
      <c r="V99" s="467" t="s">
        <v>19</v>
      </c>
      <c r="W99" s="637" t="s">
        <v>4</v>
      </c>
      <c r="X99" s="467" t="s">
        <v>1</v>
      </c>
      <c r="Y99" s="467" t="s">
        <v>9</v>
      </c>
      <c r="Z99" s="467" t="s">
        <v>218</v>
      </c>
      <c r="AA99" s="140" t="s">
        <v>17</v>
      </c>
      <c r="AB99" s="140" t="s">
        <v>19</v>
      </c>
      <c r="AC99" s="585" t="s">
        <v>4</v>
      </c>
      <c r="AD99" s="467" t="s">
        <v>1</v>
      </c>
      <c r="AE99" s="467" t="s">
        <v>9</v>
      </c>
      <c r="AF99" s="467" t="s">
        <v>219</v>
      </c>
      <c r="AG99" s="140" t="s">
        <v>17</v>
      </c>
      <c r="AH99" s="140" t="s">
        <v>19</v>
      </c>
      <c r="AI99" s="644"/>
      <c r="AJ99" s="313"/>
    </row>
    <row r="100" spans="1:36" s="83" customFormat="1" ht="15.75">
      <c r="A100" s="141" t="s">
        <v>33</v>
      </c>
      <c r="B100" s="141" t="s">
        <v>34</v>
      </c>
      <c r="C100" s="141" t="s">
        <v>45</v>
      </c>
      <c r="D100" s="141" t="s">
        <v>35</v>
      </c>
      <c r="E100" s="141" t="s">
        <v>36</v>
      </c>
      <c r="F100" s="515" t="s">
        <v>37</v>
      </c>
      <c r="G100" s="515" t="s">
        <v>38</v>
      </c>
      <c r="H100" s="142" t="s">
        <v>39</v>
      </c>
      <c r="I100" s="141" t="s">
        <v>40</v>
      </c>
      <c r="J100" s="143" t="s">
        <v>41</v>
      </c>
      <c r="K100" s="141"/>
      <c r="L100" s="141"/>
      <c r="M100" s="141"/>
      <c r="N100" s="141"/>
      <c r="O100" s="141"/>
      <c r="P100" s="141"/>
      <c r="Q100" s="515"/>
      <c r="R100" s="141"/>
      <c r="S100" s="141"/>
      <c r="T100" s="141"/>
      <c r="U100" s="141"/>
      <c r="V100" s="141"/>
      <c r="W100" s="515"/>
      <c r="X100" s="141"/>
      <c r="Y100" s="141"/>
      <c r="Z100" s="141"/>
      <c r="AA100" s="141"/>
      <c r="AB100" s="141"/>
      <c r="AC100" s="515"/>
      <c r="AD100" s="141"/>
      <c r="AE100" s="141"/>
      <c r="AF100" s="141"/>
      <c r="AG100" s="141"/>
      <c r="AH100" s="141"/>
      <c r="AI100" s="644"/>
      <c r="AJ100" s="313"/>
    </row>
    <row r="101" spans="1:36" s="83" customFormat="1" ht="15.75">
      <c r="A101" s="1101" t="s">
        <v>342</v>
      </c>
      <c r="B101" s="1102"/>
      <c r="C101" s="1102"/>
      <c r="D101" s="1102"/>
      <c r="E101" s="1102"/>
      <c r="F101" s="529"/>
      <c r="G101" s="530"/>
      <c r="H101" s="146"/>
      <c r="I101" s="145"/>
      <c r="J101" s="147"/>
      <c r="K101" s="148"/>
      <c r="L101" s="148"/>
      <c r="M101" s="148"/>
      <c r="N101" s="148"/>
      <c r="O101" s="148"/>
      <c r="P101" s="148"/>
      <c r="Q101" s="531"/>
      <c r="R101" s="148"/>
      <c r="S101" s="148"/>
      <c r="T101" s="148"/>
      <c r="U101" s="148"/>
      <c r="V101" s="148"/>
      <c r="W101" s="531"/>
      <c r="X101" s="148"/>
      <c r="Y101" s="148"/>
      <c r="Z101" s="148"/>
      <c r="AA101" s="148"/>
      <c r="AB101" s="148"/>
      <c r="AC101" s="531"/>
      <c r="AD101" s="148"/>
      <c r="AE101" s="148"/>
      <c r="AF101" s="148"/>
      <c r="AG101" s="148"/>
      <c r="AH101" s="148"/>
      <c r="AI101" s="644"/>
      <c r="AJ101" s="313"/>
    </row>
    <row r="102" spans="1:36" s="83" customFormat="1" ht="15.75">
      <c r="A102" s="1075" t="s">
        <v>343</v>
      </c>
      <c r="B102" s="1076"/>
      <c r="C102" s="1076"/>
      <c r="D102" s="1076"/>
      <c r="E102" s="1076"/>
      <c r="F102" s="531"/>
      <c r="G102" s="532"/>
      <c r="H102" s="150"/>
      <c r="I102" s="149"/>
      <c r="J102" s="151"/>
      <c r="K102" s="148"/>
      <c r="L102" s="148"/>
      <c r="M102" s="148"/>
      <c r="N102" s="148"/>
      <c r="O102" s="148"/>
      <c r="P102" s="148"/>
      <c r="Q102" s="531"/>
      <c r="R102" s="148"/>
      <c r="S102" s="148"/>
      <c r="T102" s="148"/>
      <c r="U102" s="148"/>
      <c r="V102" s="148"/>
      <c r="W102" s="531"/>
      <c r="X102" s="148"/>
      <c r="Y102" s="148"/>
      <c r="Z102" s="148"/>
      <c r="AA102" s="148"/>
      <c r="AB102" s="148"/>
      <c r="AC102" s="531"/>
      <c r="AD102" s="148"/>
      <c r="AE102" s="148"/>
      <c r="AF102" s="148"/>
      <c r="AG102" s="148"/>
      <c r="AH102" s="148"/>
      <c r="AI102" s="644"/>
      <c r="AJ102" s="313"/>
    </row>
    <row r="103" spans="1:36" s="83" customFormat="1" ht="15.75">
      <c r="A103" s="1075" t="s">
        <v>344</v>
      </c>
      <c r="B103" s="1076"/>
      <c r="C103" s="1076"/>
      <c r="D103" s="1076"/>
      <c r="E103" s="1076"/>
      <c r="F103" s="1076"/>
      <c r="G103" s="1076"/>
      <c r="H103" s="1076"/>
      <c r="I103" s="1076"/>
      <c r="J103" s="1076"/>
      <c r="K103" s="148"/>
      <c r="L103" s="148"/>
      <c r="M103" s="148"/>
      <c r="N103" s="148"/>
      <c r="O103" s="148"/>
      <c r="P103" s="148"/>
      <c r="Q103" s="531"/>
      <c r="R103" s="148"/>
      <c r="S103" s="148"/>
      <c r="T103" s="148"/>
      <c r="U103" s="148"/>
      <c r="V103" s="148"/>
      <c r="W103" s="531"/>
      <c r="X103" s="148"/>
      <c r="Y103" s="148"/>
      <c r="Z103" s="148"/>
      <c r="AA103" s="148"/>
      <c r="AB103" s="148"/>
      <c r="AC103" s="531"/>
      <c r="AD103" s="148"/>
      <c r="AE103" s="148"/>
      <c r="AF103" s="148"/>
      <c r="AG103" s="148"/>
      <c r="AH103" s="148"/>
      <c r="AI103" s="644"/>
      <c r="AJ103" s="313"/>
    </row>
    <row r="104" spans="1:36" s="83" customFormat="1" ht="15.75">
      <c r="A104" s="1075" t="s">
        <v>345</v>
      </c>
      <c r="B104" s="1076"/>
      <c r="C104" s="1076"/>
      <c r="D104" s="1076"/>
      <c r="E104" s="148"/>
      <c r="F104" s="531"/>
      <c r="G104" s="532"/>
      <c r="H104" s="150"/>
      <c r="I104" s="149"/>
      <c r="J104" s="151"/>
      <c r="K104" s="148"/>
      <c r="L104" s="148"/>
      <c r="M104" s="148"/>
      <c r="N104" s="148"/>
      <c r="O104" s="148"/>
      <c r="P104" s="148"/>
      <c r="Q104" s="531"/>
      <c r="R104" s="148"/>
      <c r="S104" s="148"/>
      <c r="T104" s="148"/>
      <c r="U104" s="148"/>
      <c r="V104" s="148"/>
      <c r="W104" s="531"/>
      <c r="X104" s="148"/>
      <c r="Y104" s="148"/>
      <c r="Z104" s="148"/>
      <c r="AA104" s="148"/>
      <c r="AB104" s="148"/>
      <c r="AC104" s="531"/>
      <c r="AD104" s="148"/>
      <c r="AE104" s="148"/>
      <c r="AF104" s="148"/>
      <c r="AG104" s="148"/>
      <c r="AH104" s="148"/>
      <c r="AI104" s="644"/>
      <c r="AJ104" s="313"/>
    </row>
    <row r="105" spans="1:36" s="83" customFormat="1" ht="15.75">
      <c r="A105" s="1075" t="s">
        <v>346</v>
      </c>
      <c r="B105" s="1076"/>
      <c r="C105" s="1076"/>
      <c r="D105" s="1077"/>
      <c r="E105" s="148"/>
      <c r="F105" s="531"/>
      <c r="G105" s="532"/>
      <c r="H105" s="150"/>
      <c r="I105" s="149"/>
      <c r="J105" s="151"/>
      <c r="K105" s="148"/>
      <c r="L105" s="148"/>
      <c r="M105" s="148"/>
      <c r="N105" s="148"/>
      <c r="O105" s="148"/>
      <c r="P105" s="148"/>
      <c r="Q105" s="531"/>
      <c r="R105" s="148"/>
      <c r="S105" s="148"/>
      <c r="T105" s="148"/>
      <c r="U105" s="148"/>
      <c r="V105" s="148"/>
      <c r="W105" s="531"/>
      <c r="X105" s="148"/>
      <c r="Y105" s="148"/>
      <c r="Z105" s="148"/>
      <c r="AA105" s="148"/>
      <c r="AB105" s="148"/>
      <c r="AC105" s="531"/>
      <c r="AD105" s="148"/>
      <c r="AE105" s="148"/>
      <c r="AF105" s="148"/>
      <c r="AG105" s="148"/>
      <c r="AH105" s="148"/>
      <c r="AI105" s="644"/>
      <c r="AJ105" s="313"/>
    </row>
    <row r="106" spans="1:36" s="83" customFormat="1" ht="15.75">
      <c r="A106" s="9" t="s">
        <v>352</v>
      </c>
      <c r="B106" s="149"/>
      <c r="C106" s="148"/>
      <c r="D106" s="149"/>
      <c r="E106" s="148"/>
      <c r="F106" s="531"/>
      <c r="G106" s="531"/>
      <c r="H106" s="148"/>
      <c r="I106" s="149"/>
      <c r="J106" s="148"/>
      <c r="K106" s="148"/>
      <c r="L106" s="148"/>
      <c r="M106" s="148"/>
      <c r="N106" s="148"/>
      <c r="O106" s="148"/>
      <c r="P106" s="148"/>
      <c r="Q106" s="531"/>
      <c r="R106" s="148"/>
      <c r="S106" s="148"/>
      <c r="T106" s="148"/>
      <c r="U106" s="148"/>
      <c r="V106" s="148"/>
      <c r="W106" s="531"/>
      <c r="X106" s="148"/>
      <c r="Y106" s="148"/>
      <c r="Z106" s="148"/>
      <c r="AA106" s="148"/>
      <c r="AB106" s="148"/>
      <c r="AC106" s="531"/>
      <c r="AD106" s="148"/>
      <c r="AE106" s="148"/>
      <c r="AF106" s="148"/>
      <c r="AG106" s="148"/>
      <c r="AH106" s="148"/>
      <c r="AI106" s="644"/>
      <c r="AJ106" s="313"/>
    </row>
    <row r="107" spans="1:36" s="83" customFormat="1" ht="178.5">
      <c r="A107" s="152" t="s">
        <v>389</v>
      </c>
      <c r="B107" s="153"/>
      <c r="C107" s="154"/>
      <c r="D107" s="153" t="s">
        <v>347</v>
      </c>
      <c r="E107" s="154" t="s">
        <v>353</v>
      </c>
      <c r="F107" s="533" t="s">
        <v>138</v>
      </c>
      <c r="G107" s="533" t="s">
        <v>65</v>
      </c>
      <c r="H107" s="155" t="s">
        <v>391</v>
      </c>
      <c r="I107" s="153" t="s">
        <v>349</v>
      </c>
      <c r="J107" s="156" t="s">
        <v>355</v>
      </c>
      <c r="K107" s="155"/>
      <c r="L107" s="368">
        <v>602817</v>
      </c>
      <c r="M107" s="155"/>
      <c r="N107" s="155"/>
      <c r="O107" s="157"/>
      <c r="P107" s="155"/>
      <c r="Q107" s="619">
        <v>602817</v>
      </c>
      <c r="R107" s="155"/>
      <c r="S107" s="155"/>
      <c r="T107" s="155"/>
      <c r="U107" s="155"/>
      <c r="V107" s="155"/>
      <c r="W107" s="533"/>
      <c r="X107" s="148"/>
      <c r="Y107" s="148"/>
      <c r="Z107" s="148"/>
      <c r="AA107" s="148"/>
      <c r="AB107" s="148"/>
      <c r="AC107" s="531"/>
      <c r="AD107" s="148"/>
      <c r="AE107" s="148"/>
      <c r="AF107" s="148"/>
      <c r="AG107" s="148"/>
      <c r="AH107" s="148"/>
      <c r="AI107" s="644"/>
      <c r="AJ107" s="313"/>
    </row>
    <row r="108" spans="1:36" s="83" customFormat="1" ht="267.75">
      <c r="A108" s="9" t="s">
        <v>390</v>
      </c>
      <c r="B108" s="149"/>
      <c r="C108" s="151"/>
      <c r="D108" s="149" t="s">
        <v>347</v>
      </c>
      <c r="E108" s="151" t="s">
        <v>356</v>
      </c>
      <c r="F108" s="531" t="s">
        <v>80</v>
      </c>
      <c r="G108" s="531" t="s">
        <v>350</v>
      </c>
      <c r="H108" s="148" t="s">
        <v>391</v>
      </c>
      <c r="I108" s="149" t="s">
        <v>357</v>
      </c>
      <c r="J108" s="151" t="s">
        <v>358</v>
      </c>
      <c r="K108" s="148"/>
      <c r="L108" s="369">
        <v>86000</v>
      </c>
      <c r="M108" s="148"/>
      <c r="N108" s="148"/>
      <c r="O108" s="148"/>
      <c r="P108" s="148"/>
      <c r="Q108" s="599">
        <v>86000</v>
      </c>
      <c r="R108" s="148"/>
      <c r="S108" s="148"/>
      <c r="T108" s="148"/>
      <c r="U108" s="148"/>
      <c r="V108" s="148"/>
      <c r="W108" s="531"/>
      <c r="X108" s="148"/>
      <c r="Y108" s="148"/>
      <c r="Z108" s="148"/>
      <c r="AA108" s="148"/>
      <c r="AB108" s="148"/>
      <c r="AC108" s="531"/>
      <c r="AD108" s="148"/>
      <c r="AE108" s="148"/>
      <c r="AF108" s="148"/>
      <c r="AG108" s="148"/>
      <c r="AH108" s="148"/>
      <c r="AI108" s="644"/>
      <c r="AJ108" s="313"/>
    </row>
    <row r="109" spans="1:36" s="83" customFormat="1" ht="242.25">
      <c r="A109" s="4" t="s">
        <v>396</v>
      </c>
      <c r="B109" s="149"/>
      <c r="C109" s="148"/>
      <c r="D109" s="149" t="s">
        <v>347</v>
      </c>
      <c r="E109" s="148" t="s">
        <v>359</v>
      </c>
      <c r="F109" s="531" t="s">
        <v>80</v>
      </c>
      <c r="G109" s="531"/>
      <c r="H109" s="148" t="s">
        <v>354</v>
      </c>
      <c r="I109" s="149" t="s">
        <v>351</v>
      </c>
      <c r="J109" s="151" t="s">
        <v>358</v>
      </c>
      <c r="K109" s="148"/>
      <c r="L109" s="148"/>
      <c r="M109" s="148"/>
      <c r="N109" s="148"/>
      <c r="O109" s="148"/>
      <c r="P109" s="148"/>
      <c r="Q109" s="531"/>
      <c r="R109" s="148"/>
      <c r="S109" s="148"/>
      <c r="T109" s="148"/>
      <c r="U109" s="148"/>
      <c r="V109" s="148"/>
      <c r="W109" s="531"/>
      <c r="X109" s="148"/>
      <c r="Y109" s="148"/>
      <c r="Z109" s="148"/>
      <c r="AA109" s="148"/>
      <c r="AB109" s="148"/>
      <c r="AC109" s="531"/>
      <c r="AD109" s="148"/>
      <c r="AE109" s="148"/>
      <c r="AF109" s="148"/>
      <c r="AG109" s="148"/>
      <c r="AH109" s="148"/>
      <c r="AI109" s="644"/>
      <c r="AJ109" s="313"/>
    </row>
    <row r="110" spans="1:36" s="83" customFormat="1" ht="15.75">
      <c r="A110" s="1075" t="s">
        <v>360</v>
      </c>
      <c r="B110" s="1076"/>
      <c r="C110" s="1076"/>
      <c r="D110" s="1076"/>
      <c r="E110" s="1076"/>
      <c r="F110" s="531"/>
      <c r="G110" s="532"/>
      <c r="H110" s="150"/>
      <c r="I110" s="149"/>
      <c r="J110" s="151"/>
      <c r="K110" s="148"/>
      <c r="L110" s="148"/>
      <c r="M110" s="148"/>
      <c r="N110" s="148"/>
      <c r="O110" s="148"/>
      <c r="P110" s="148"/>
      <c r="Q110" s="531"/>
      <c r="R110" s="148"/>
      <c r="S110" s="148"/>
      <c r="T110" s="148"/>
      <c r="U110" s="148"/>
      <c r="V110" s="148"/>
      <c r="W110" s="531"/>
      <c r="X110" s="148"/>
      <c r="Y110" s="148"/>
      <c r="Z110" s="148"/>
      <c r="AA110" s="148"/>
      <c r="AB110" s="148"/>
      <c r="AC110" s="531"/>
      <c r="AD110" s="148"/>
      <c r="AE110" s="148"/>
      <c r="AF110" s="148"/>
      <c r="AG110" s="148"/>
      <c r="AH110" s="148"/>
      <c r="AI110" s="644"/>
      <c r="AJ110" s="313"/>
    </row>
    <row r="111" spans="1:36" s="83" customFormat="1" ht="15.75">
      <c r="A111" s="1075" t="s">
        <v>361</v>
      </c>
      <c r="B111" s="1076"/>
      <c r="C111" s="1076"/>
      <c r="D111" s="1076"/>
      <c r="E111" s="1076"/>
      <c r="F111" s="1076"/>
      <c r="G111" s="1076"/>
      <c r="H111" s="1076"/>
      <c r="I111" s="1076"/>
      <c r="J111" s="1076"/>
      <c r="K111" s="148"/>
      <c r="L111" s="148"/>
      <c r="M111" s="148"/>
      <c r="N111" s="148"/>
      <c r="O111" s="148"/>
      <c r="P111" s="148"/>
      <c r="Q111" s="531"/>
      <c r="R111" s="148"/>
      <c r="S111" s="148"/>
      <c r="T111" s="148"/>
      <c r="U111" s="148"/>
      <c r="V111" s="148"/>
      <c r="W111" s="531"/>
      <c r="X111" s="148"/>
      <c r="Y111" s="148"/>
      <c r="Z111" s="148"/>
      <c r="AA111" s="148"/>
      <c r="AB111" s="148"/>
      <c r="AC111" s="531"/>
      <c r="AD111" s="148"/>
      <c r="AE111" s="148"/>
      <c r="AF111" s="148"/>
      <c r="AG111" s="148"/>
      <c r="AH111" s="148"/>
      <c r="AI111" s="644"/>
      <c r="AJ111" s="313"/>
    </row>
    <row r="112" spans="1:36" s="83" customFormat="1" ht="15.75">
      <c r="A112" s="1075" t="s">
        <v>345</v>
      </c>
      <c r="B112" s="1076"/>
      <c r="C112" s="1076"/>
      <c r="D112" s="1076"/>
      <c r="E112" s="1076"/>
      <c r="F112" s="1076"/>
      <c r="G112" s="1076"/>
      <c r="H112" s="1076"/>
      <c r="I112" s="1076"/>
      <c r="J112" s="1076"/>
      <c r="K112" s="148"/>
      <c r="L112" s="148"/>
      <c r="M112" s="148"/>
      <c r="N112" s="148"/>
      <c r="O112" s="148"/>
      <c r="P112" s="148"/>
      <c r="Q112" s="531"/>
      <c r="R112" s="148"/>
      <c r="S112" s="148"/>
      <c r="T112" s="148"/>
      <c r="U112" s="148"/>
      <c r="V112" s="148"/>
      <c r="W112" s="531"/>
      <c r="X112" s="148"/>
      <c r="Y112" s="148"/>
      <c r="Z112" s="148"/>
      <c r="AA112" s="148"/>
      <c r="AB112" s="148"/>
      <c r="AC112" s="531"/>
      <c r="AD112" s="148"/>
      <c r="AE112" s="148"/>
      <c r="AF112" s="148"/>
      <c r="AG112" s="148"/>
      <c r="AH112" s="148"/>
      <c r="AI112" s="644"/>
      <c r="AJ112" s="313"/>
    </row>
    <row r="113" spans="1:36" s="83" customFormat="1" ht="15.75">
      <c r="A113" s="1136" t="s">
        <v>362</v>
      </c>
      <c r="B113" s="1136"/>
      <c r="C113" s="1136"/>
      <c r="D113" s="1136"/>
      <c r="E113" s="1136"/>
      <c r="F113" s="1136"/>
      <c r="G113" s="1136"/>
      <c r="H113" s="1136"/>
      <c r="I113" s="1136"/>
      <c r="J113" s="1075"/>
      <c r="K113" s="148"/>
      <c r="L113" s="148"/>
      <c r="M113" s="148"/>
      <c r="N113" s="148"/>
      <c r="O113" s="148"/>
      <c r="P113" s="148"/>
      <c r="Q113" s="531"/>
      <c r="R113" s="148"/>
      <c r="S113" s="148"/>
      <c r="T113" s="148"/>
      <c r="U113" s="148"/>
      <c r="V113" s="148"/>
      <c r="W113" s="531"/>
      <c r="X113" s="148"/>
      <c r="Y113" s="148"/>
      <c r="Z113" s="148"/>
      <c r="AA113" s="148"/>
      <c r="AB113" s="148"/>
      <c r="AC113" s="531"/>
      <c r="AD113" s="148"/>
      <c r="AE113" s="148"/>
      <c r="AF113" s="148"/>
      <c r="AG113" s="148"/>
      <c r="AH113" s="148"/>
      <c r="AI113" s="644"/>
      <c r="AJ113" s="313"/>
    </row>
    <row r="114" spans="1:36" s="83" customFormat="1" ht="306">
      <c r="A114" s="9" t="s">
        <v>363</v>
      </c>
      <c r="B114" s="149"/>
      <c r="C114" s="148"/>
      <c r="D114" s="149" t="s">
        <v>347</v>
      </c>
      <c r="E114" s="148" t="s">
        <v>364</v>
      </c>
      <c r="F114" s="531" t="s">
        <v>138</v>
      </c>
      <c r="G114" s="531" t="s">
        <v>65</v>
      </c>
      <c r="H114" s="148" t="s">
        <v>391</v>
      </c>
      <c r="I114" s="149" t="s">
        <v>348</v>
      </c>
      <c r="J114" s="151" t="s">
        <v>365</v>
      </c>
      <c r="K114" s="148"/>
      <c r="L114" s="148"/>
      <c r="M114" s="148"/>
      <c r="N114" s="148"/>
      <c r="O114" s="148"/>
      <c r="P114" s="148"/>
      <c r="Q114" s="531"/>
      <c r="R114" s="148"/>
      <c r="S114" s="148"/>
      <c r="T114" s="148"/>
      <c r="U114" s="148"/>
      <c r="V114" s="148"/>
      <c r="W114" s="531"/>
      <c r="X114" s="148"/>
      <c r="Y114" s="148"/>
      <c r="Z114" s="148"/>
      <c r="AA114" s="148"/>
      <c r="AB114" s="148"/>
      <c r="AC114" s="531"/>
      <c r="AD114" s="148"/>
      <c r="AE114" s="148"/>
      <c r="AF114" s="148"/>
      <c r="AG114" s="148"/>
      <c r="AH114" s="148"/>
      <c r="AI114" s="644"/>
      <c r="AJ114" s="313"/>
    </row>
    <row r="115" spans="1:36" s="83" customFormat="1" ht="63.75">
      <c r="A115" s="9" t="s">
        <v>366</v>
      </c>
      <c r="B115" s="149"/>
      <c r="C115" s="148"/>
      <c r="D115" s="149" t="s">
        <v>347</v>
      </c>
      <c r="E115" s="148"/>
      <c r="F115" s="531" t="s">
        <v>138</v>
      </c>
      <c r="G115" s="531" t="s">
        <v>65</v>
      </c>
      <c r="H115" s="148" t="s">
        <v>391</v>
      </c>
      <c r="I115" s="149" t="s">
        <v>348</v>
      </c>
      <c r="J115" s="151" t="s">
        <v>365</v>
      </c>
      <c r="K115" s="148"/>
      <c r="L115" s="369">
        <v>946000</v>
      </c>
      <c r="M115" s="148"/>
      <c r="N115" s="148"/>
      <c r="O115" s="148"/>
      <c r="P115" s="148"/>
      <c r="Q115" s="599">
        <v>946000</v>
      </c>
      <c r="R115" s="148"/>
      <c r="S115" s="148"/>
      <c r="T115" s="148"/>
      <c r="U115" s="148"/>
      <c r="V115" s="148"/>
      <c r="W115" s="531"/>
      <c r="X115" s="148"/>
      <c r="Y115" s="148"/>
      <c r="Z115" s="148"/>
      <c r="AA115" s="148"/>
      <c r="AB115" s="148"/>
      <c r="AC115" s="531"/>
      <c r="AD115" s="148"/>
      <c r="AE115" s="148"/>
      <c r="AF115" s="148"/>
      <c r="AG115" s="148"/>
      <c r="AH115" s="148"/>
      <c r="AI115" s="644"/>
      <c r="AJ115" s="313"/>
    </row>
    <row r="116" spans="1:36" s="83" customFormat="1" ht="216.75">
      <c r="A116" s="4" t="s">
        <v>367</v>
      </c>
      <c r="B116" s="149"/>
      <c r="C116" s="148"/>
      <c r="D116" s="149" t="s">
        <v>347</v>
      </c>
      <c r="E116" s="148" t="s">
        <v>368</v>
      </c>
      <c r="F116" s="531" t="s">
        <v>138</v>
      </c>
      <c r="G116" s="531" t="s">
        <v>65</v>
      </c>
      <c r="H116" s="148" t="s">
        <v>391</v>
      </c>
      <c r="I116" s="149" t="s">
        <v>348</v>
      </c>
      <c r="J116" s="151" t="s">
        <v>365</v>
      </c>
      <c r="K116" s="148"/>
      <c r="L116" s="370">
        <v>499402</v>
      </c>
      <c r="M116" s="148"/>
      <c r="N116" s="148"/>
      <c r="O116" s="157"/>
      <c r="P116" s="148"/>
      <c r="Q116" s="586">
        <v>499402</v>
      </c>
      <c r="R116" s="370">
        <v>644484</v>
      </c>
      <c r="S116" s="148"/>
      <c r="T116" s="148"/>
      <c r="U116" s="157"/>
      <c r="V116" s="148"/>
      <c r="W116" s="586">
        <v>644484</v>
      </c>
      <c r="X116" s="370">
        <v>789566</v>
      </c>
      <c r="Y116" s="148"/>
      <c r="Z116" s="148"/>
      <c r="AA116" s="148"/>
      <c r="AB116" s="148"/>
      <c r="AC116" s="586">
        <v>789566</v>
      </c>
      <c r="AD116" s="370">
        <v>934648</v>
      </c>
      <c r="AE116" s="148"/>
      <c r="AF116" s="148"/>
      <c r="AG116" s="157"/>
      <c r="AH116" s="148"/>
      <c r="AI116" s="646">
        <f>SUM(AD116:AH116)</f>
        <v>934648</v>
      </c>
      <c r="AJ116" s="313"/>
    </row>
    <row r="117" spans="1:36" s="83" customFormat="1" ht="76.5">
      <c r="A117" s="4" t="s">
        <v>369</v>
      </c>
      <c r="B117" s="149"/>
      <c r="C117" s="148"/>
      <c r="D117" s="149" t="s">
        <v>347</v>
      </c>
      <c r="E117" s="148"/>
      <c r="F117" s="531" t="s">
        <v>138</v>
      </c>
      <c r="G117" s="531" t="s">
        <v>65</v>
      </c>
      <c r="H117" s="148" t="s">
        <v>391</v>
      </c>
      <c r="I117" s="149" t="s">
        <v>348</v>
      </c>
      <c r="J117" s="151" t="s">
        <v>358</v>
      </c>
      <c r="K117" s="148"/>
      <c r="L117" s="371">
        <v>2707495</v>
      </c>
      <c r="M117" s="148"/>
      <c r="N117" s="148"/>
      <c r="O117" s="148"/>
      <c r="P117" s="148"/>
      <c r="Q117" s="587">
        <v>2707495</v>
      </c>
      <c r="R117" s="148"/>
      <c r="S117" s="148"/>
      <c r="T117" s="148"/>
      <c r="U117" s="148"/>
      <c r="V117" s="148"/>
      <c r="W117" s="531"/>
      <c r="X117" s="148"/>
      <c r="Y117" s="148"/>
      <c r="Z117" s="148"/>
      <c r="AA117" s="148"/>
      <c r="AB117" s="148"/>
      <c r="AC117" s="531"/>
      <c r="AD117" s="148"/>
      <c r="AE117" s="148"/>
      <c r="AF117" s="148"/>
      <c r="AG117" s="148"/>
      <c r="AH117" s="148"/>
      <c r="AI117" s="646">
        <f t="shared" ref="AI117:AI130" si="8">SUM(AD117:AH117)</f>
        <v>0</v>
      </c>
      <c r="AJ117" s="313"/>
    </row>
    <row r="118" spans="1:36" s="83" customFormat="1" ht="293.25">
      <c r="A118" s="4" t="s">
        <v>370</v>
      </c>
      <c r="B118" s="149"/>
      <c r="C118" s="148"/>
      <c r="D118" s="149" t="s">
        <v>347</v>
      </c>
      <c r="E118" s="148" t="s">
        <v>371</v>
      </c>
      <c r="F118" s="531" t="s">
        <v>372</v>
      </c>
      <c r="G118" s="531" t="s">
        <v>373</v>
      </c>
      <c r="H118" s="148" t="s">
        <v>391</v>
      </c>
      <c r="I118" s="149" t="s">
        <v>348</v>
      </c>
      <c r="J118" s="151" t="s">
        <v>358</v>
      </c>
      <c r="K118" s="148"/>
      <c r="L118" s="148"/>
      <c r="M118" s="148"/>
      <c r="N118" s="148"/>
      <c r="O118" s="148"/>
      <c r="P118" s="148"/>
      <c r="Q118" s="531"/>
      <c r="R118" s="148"/>
      <c r="S118" s="148"/>
      <c r="T118" s="148"/>
      <c r="U118" s="148"/>
      <c r="V118" s="148"/>
      <c r="W118" s="531"/>
      <c r="X118" s="148"/>
      <c r="Y118" s="148"/>
      <c r="Z118" s="148"/>
      <c r="AA118" s="148"/>
      <c r="AB118" s="148"/>
      <c r="AC118" s="531"/>
      <c r="AD118" s="148"/>
      <c r="AE118" s="148"/>
      <c r="AF118" s="148"/>
      <c r="AG118" s="148"/>
      <c r="AH118" s="148"/>
      <c r="AI118" s="646">
        <f t="shared" si="8"/>
        <v>0</v>
      </c>
      <c r="AJ118" s="313"/>
    </row>
    <row r="119" spans="1:36" s="83" customFormat="1" ht="409.5">
      <c r="A119" s="4" t="s">
        <v>374</v>
      </c>
      <c r="B119" s="149"/>
      <c r="C119" s="148"/>
      <c r="D119" s="149" t="s">
        <v>347</v>
      </c>
      <c r="E119" s="148" t="s">
        <v>375</v>
      </c>
      <c r="F119" s="531" t="s">
        <v>372</v>
      </c>
      <c r="G119" s="531" t="s">
        <v>373</v>
      </c>
      <c r="H119" s="148" t="s">
        <v>391</v>
      </c>
      <c r="I119" s="149" t="s">
        <v>348</v>
      </c>
      <c r="J119" s="151" t="s">
        <v>358</v>
      </c>
      <c r="K119" s="148"/>
      <c r="L119" s="371">
        <v>4300</v>
      </c>
      <c r="M119" s="148"/>
      <c r="N119" s="148"/>
      <c r="O119" s="148"/>
      <c r="P119" s="148"/>
      <c r="Q119" s="587">
        <v>4300</v>
      </c>
      <c r="R119" s="148"/>
      <c r="S119" s="148"/>
      <c r="T119" s="148"/>
      <c r="U119" s="148"/>
      <c r="V119" s="148"/>
      <c r="W119" s="531"/>
      <c r="X119" s="148"/>
      <c r="Y119" s="148"/>
      <c r="Z119" s="148"/>
      <c r="AA119" s="148"/>
      <c r="AB119" s="148"/>
      <c r="AC119" s="531"/>
      <c r="AD119" s="148"/>
      <c r="AE119" s="148"/>
      <c r="AF119" s="148"/>
      <c r="AG119" s="148"/>
      <c r="AH119" s="148"/>
      <c r="AI119" s="646">
        <f t="shared" si="8"/>
        <v>0</v>
      </c>
      <c r="AJ119" s="313"/>
    </row>
    <row r="120" spans="1:36" s="83" customFormat="1" ht="15.75">
      <c r="A120" s="1075" t="s">
        <v>376</v>
      </c>
      <c r="B120" s="1076"/>
      <c r="C120" s="1076"/>
      <c r="D120" s="1076"/>
      <c r="E120" s="1076"/>
      <c r="F120" s="1076"/>
      <c r="G120" s="1076"/>
      <c r="H120" s="1076"/>
      <c r="I120" s="1076"/>
      <c r="J120" s="1076"/>
      <c r="K120" s="148"/>
      <c r="L120" s="148"/>
      <c r="M120" s="148"/>
      <c r="N120" s="148"/>
      <c r="O120" s="148"/>
      <c r="P120" s="148"/>
      <c r="Q120" s="531"/>
      <c r="R120" s="148"/>
      <c r="S120" s="148"/>
      <c r="T120" s="148"/>
      <c r="U120" s="148"/>
      <c r="V120" s="148"/>
      <c r="W120" s="531"/>
      <c r="X120" s="148"/>
      <c r="Y120" s="148"/>
      <c r="Z120" s="148"/>
      <c r="AA120" s="148"/>
      <c r="AB120" s="148"/>
      <c r="AC120" s="531"/>
      <c r="AD120" s="148"/>
      <c r="AE120" s="148"/>
      <c r="AF120" s="148"/>
      <c r="AG120" s="148"/>
      <c r="AH120" s="151"/>
      <c r="AI120" s="646">
        <f t="shared" si="8"/>
        <v>0</v>
      </c>
      <c r="AJ120" s="327"/>
    </row>
    <row r="121" spans="1:36" s="83" customFormat="1" ht="15.75">
      <c r="A121" s="1075" t="s">
        <v>345</v>
      </c>
      <c r="B121" s="1076"/>
      <c r="C121" s="1076"/>
      <c r="D121" s="1076"/>
      <c r="E121" s="148"/>
      <c r="F121" s="531"/>
      <c r="G121" s="532"/>
      <c r="H121" s="150"/>
      <c r="I121" s="149"/>
      <c r="J121" s="151"/>
      <c r="K121" s="148"/>
      <c r="L121" s="148"/>
      <c r="M121" s="148"/>
      <c r="N121" s="148"/>
      <c r="O121" s="148"/>
      <c r="P121" s="148"/>
      <c r="Q121" s="531"/>
      <c r="R121" s="148"/>
      <c r="S121" s="148"/>
      <c r="T121" s="148"/>
      <c r="U121" s="148"/>
      <c r="V121" s="148"/>
      <c r="W121" s="531"/>
      <c r="X121" s="148"/>
      <c r="Y121" s="148"/>
      <c r="Z121" s="148"/>
      <c r="AA121" s="148"/>
      <c r="AB121" s="148"/>
      <c r="AC121" s="531"/>
      <c r="AD121" s="148"/>
      <c r="AE121" s="148"/>
      <c r="AF121" s="148"/>
      <c r="AG121" s="148"/>
      <c r="AH121" s="148"/>
      <c r="AI121" s="646">
        <f t="shared" si="8"/>
        <v>0</v>
      </c>
      <c r="AJ121" s="326"/>
    </row>
    <row r="122" spans="1:36" s="83" customFormat="1" ht="15.75">
      <c r="A122" s="1075" t="s">
        <v>362</v>
      </c>
      <c r="B122" s="1076"/>
      <c r="C122" s="1076"/>
      <c r="D122" s="1076"/>
      <c r="E122" s="1076"/>
      <c r="F122" s="1076"/>
      <c r="G122" s="1076"/>
      <c r="H122" s="1076"/>
      <c r="I122" s="1076"/>
      <c r="J122" s="1076"/>
      <c r="K122" s="148"/>
      <c r="L122" s="148"/>
      <c r="M122" s="148"/>
      <c r="N122" s="148"/>
      <c r="O122" s="148"/>
      <c r="P122" s="148"/>
      <c r="Q122" s="531"/>
      <c r="R122" s="148"/>
      <c r="S122" s="148"/>
      <c r="T122" s="148"/>
      <c r="U122" s="148"/>
      <c r="V122" s="148"/>
      <c r="W122" s="531"/>
      <c r="X122" s="148"/>
      <c r="Y122" s="148"/>
      <c r="Z122" s="148"/>
      <c r="AA122" s="148"/>
      <c r="AB122" s="148"/>
      <c r="AC122" s="531"/>
      <c r="AD122" s="148"/>
      <c r="AE122" s="148"/>
      <c r="AF122" s="148"/>
      <c r="AG122" s="148"/>
      <c r="AH122" s="148"/>
      <c r="AI122" s="646">
        <f t="shared" si="8"/>
        <v>0</v>
      </c>
      <c r="AJ122" s="326"/>
    </row>
    <row r="123" spans="1:36" s="83" customFormat="1" ht="267.75">
      <c r="A123" s="9" t="s">
        <v>377</v>
      </c>
      <c r="B123" s="149"/>
      <c r="C123" s="148"/>
      <c r="D123" s="149" t="s">
        <v>347</v>
      </c>
      <c r="E123" s="148" t="s">
        <v>378</v>
      </c>
      <c r="F123" s="531" t="s">
        <v>138</v>
      </c>
      <c r="G123" s="531" t="s">
        <v>65</v>
      </c>
      <c r="H123" s="148" t="s">
        <v>354</v>
      </c>
      <c r="I123" s="149" t="s">
        <v>348</v>
      </c>
      <c r="J123" s="151" t="s">
        <v>358</v>
      </c>
      <c r="K123" s="148"/>
      <c r="L123" s="148"/>
      <c r="M123" s="148"/>
      <c r="N123" s="148"/>
      <c r="O123" s="148"/>
      <c r="P123" s="148"/>
      <c r="Q123" s="531"/>
      <c r="R123" s="371">
        <v>3512756</v>
      </c>
      <c r="S123" s="148"/>
      <c r="T123" s="148"/>
      <c r="U123" s="148"/>
      <c r="V123" s="148"/>
      <c r="W123" s="587">
        <v>3512756</v>
      </c>
      <c r="X123" s="148"/>
      <c r="Y123" s="148"/>
      <c r="Z123" s="148"/>
      <c r="AA123" s="148"/>
      <c r="AB123" s="148"/>
      <c r="AC123" s="531"/>
      <c r="AD123" s="148"/>
      <c r="AE123" s="148"/>
      <c r="AF123" s="148"/>
      <c r="AG123" s="148"/>
      <c r="AH123" s="148"/>
      <c r="AI123" s="646">
        <f t="shared" si="8"/>
        <v>0</v>
      </c>
      <c r="AJ123" s="326"/>
    </row>
    <row r="124" spans="1:36" s="83" customFormat="1" ht="15.75">
      <c r="A124" s="1075" t="s">
        <v>379</v>
      </c>
      <c r="B124" s="1076"/>
      <c r="C124" s="1076"/>
      <c r="D124" s="1076"/>
      <c r="E124" s="1076"/>
      <c r="F124" s="1076"/>
      <c r="G124" s="1076"/>
      <c r="H124" s="1076"/>
      <c r="I124" s="1076"/>
      <c r="J124" s="1076"/>
      <c r="K124" s="148"/>
      <c r="L124" s="148"/>
      <c r="M124" s="148"/>
      <c r="N124" s="148"/>
      <c r="O124" s="148"/>
      <c r="P124" s="148"/>
      <c r="Q124" s="531"/>
      <c r="R124" s="148"/>
      <c r="S124" s="148"/>
      <c r="T124" s="148"/>
      <c r="U124" s="148"/>
      <c r="V124" s="148"/>
      <c r="W124" s="531"/>
      <c r="X124" s="148"/>
      <c r="Y124" s="148"/>
      <c r="Z124" s="148"/>
      <c r="AA124" s="148"/>
      <c r="AB124" s="148"/>
      <c r="AC124" s="531"/>
      <c r="AD124" s="148"/>
      <c r="AE124" s="148"/>
      <c r="AF124" s="148"/>
      <c r="AG124" s="148"/>
      <c r="AH124" s="148"/>
      <c r="AI124" s="646">
        <f t="shared" si="8"/>
        <v>0</v>
      </c>
      <c r="AJ124" s="326"/>
    </row>
    <row r="125" spans="1:36" s="83" customFormat="1" ht="15.75">
      <c r="A125" s="1075" t="s">
        <v>345</v>
      </c>
      <c r="B125" s="1076"/>
      <c r="C125" s="1076"/>
      <c r="D125" s="1076"/>
      <c r="E125" s="1076"/>
      <c r="F125" s="1076"/>
      <c r="G125" s="1076"/>
      <c r="H125" s="1076"/>
      <c r="I125" s="1076"/>
      <c r="J125" s="1076"/>
      <c r="K125" s="148"/>
      <c r="L125" s="148"/>
      <c r="M125" s="148"/>
      <c r="N125" s="148"/>
      <c r="O125" s="148"/>
      <c r="P125" s="148"/>
      <c r="Q125" s="531"/>
      <c r="R125" s="148"/>
      <c r="S125" s="148"/>
      <c r="T125" s="148"/>
      <c r="U125" s="148"/>
      <c r="V125" s="148"/>
      <c r="W125" s="531"/>
      <c r="X125" s="148"/>
      <c r="Y125" s="148"/>
      <c r="Z125" s="148"/>
      <c r="AA125" s="148"/>
      <c r="AB125" s="148"/>
      <c r="AC125" s="531"/>
      <c r="AD125" s="148"/>
      <c r="AE125" s="148"/>
      <c r="AF125" s="148"/>
      <c r="AG125" s="148"/>
      <c r="AH125" s="148"/>
      <c r="AI125" s="646">
        <f t="shared" si="8"/>
        <v>0</v>
      </c>
      <c r="AJ125" s="326"/>
    </row>
    <row r="126" spans="1:36" s="83" customFormat="1" ht="15.75">
      <c r="A126" s="1075" t="s">
        <v>362</v>
      </c>
      <c r="B126" s="1076"/>
      <c r="C126" s="1076"/>
      <c r="D126" s="1076"/>
      <c r="E126" s="1076"/>
      <c r="F126" s="1076"/>
      <c r="G126" s="1076"/>
      <c r="H126" s="1076"/>
      <c r="I126" s="1076"/>
      <c r="J126" s="1076"/>
      <c r="K126" s="148"/>
      <c r="L126" s="148"/>
      <c r="M126" s="148"/>
      <c r="N126" s="148"/>
      <c r="O126" s="148"/>
      <c r="P126" s="148"/>
      <c r="Q126" s="531"/>
      <c r="R126" s="148"/>
      <c r="S126" s="148"/>
      <c r="T126" s="148"/>
      <c r="U126" s="148"/>
      <c r="V126" s="148"/>
      <c r="W126" s="531"/>
      <c r="X126" s="148"/>
      <c r="Y126" s="148"/>
      <c r="Z126" s="148"/>
      <c r="AA126" s="148"/>
      <c r="AB126" s="148"/>
      <c r="AC126" s="531"/>
      <c r="AD126" s="148"/>
      <c r="AE126" s="148"/>
      <c r="AF126" s="148"/>
      <c r="AG126" s="148"/>
      <c r="AH126" s="148"/>
      <c r="AI126" s="646">
        <f t="shared" si="8"/>
        <v>0</v>
      </c>
      <c r="AJ126" s="326"/>
    </row>
    <row r="127" spans="1:36" s="83" customFormat="1" ht="369.75">
      <c r="A127" s="9" t="s">
        <v>380</v>
      </c>
      <c r="B127" s="149"/>
      <c r="C127" s="151"/>
      <c r="D127" s="149" t="s">
        <v>347</v>
      </c>
      <c r="E127" s="151" t="s">
        <v>381</v>
      </c>
      <c r="F127" s="531" t="s">
        <v>80</v>
      </c>
      <c r="G127" s="531" t="s">
        <v>350</v>
      </c>
      <c r="H127" s="148" t="s">
        <v>391</v>
      </c>
      <c r="I127" s="149" t="s">
        <v>348</v>
      </c>
      <c r="J127" s="151" t="s">
        <v>358</v>
      </c>
      <c r="K127" s="148"/>
      <c r="L127" s="148"/>
      <c r="M127" s="148"/>
      <c r="N127" s="148"/>
      <c r="O127" s="148"/>
      <c r="P127" s="148"/>
      <c r="Q127" s="531"/>
      <c r="R127" s="148"/>
      <c r="S127" s="148"/>
      <c r="T127" s="148"/>
      <c r="U127" s="148"/>
      <c r="V127" s="148"/>
      <c r="W127" s="531"/>
      <c r="X127" s="148"/>
      <c r="Y127" s="148"/>
      <c r="Z127" s="148"/>
      <c r="AA127" s="148"/>
      <c r="AB127" s="148"/>
      <c r="AC127" s="531"/>
      <c r="AD127" s="148"/>
      <c r="AE127" s="148"/>
      <c r="AF127" s="148"/>
      <c r="AG127" s="148"/>
      <c r="AH127" s="148"/>
      <c r="AI127" s="646">
        <f t="shared" si="8"/>
        <v>0</v>
      </c>
      <c r="AJ127" s="326"/>
    </row>
    <row r="128" spans="1:36" s="83" customFormat="1" ht="15.75">
      <c r="A128" s="1075" t="s">
        <v>382</v>
      </c>
      <c r="B128" s="1076"/>
      <c r="C128" s="1076"/>
      <c r="D128" s="1076"/>
      <c r="E128" s="1076"/>
      <c r="F128" s="1076"/>
      <c r="G128" s="1076"/>
      <c r="H128" s="1076"/>
      <c r="I128" s="1076"/>
      <c r="J128" s="1076"/>
      <c r="K128" s="148"/>
      <c r="L128" s="148"/>
      <c r="M128" s="148"/>
      <c r="N128" s="148"/>
      <c r="O128" s="148"/>
      <c r="P128" s="148"/>
      <c r="Q128" s="531"/>
      <c r="R128" s="148"/>
      <c r="S128" s="148"/>
      <c r="T128" s="148"/>
      <c r="U128" s="148"/>
      <c r="V128" s="148"/>
      <c r="W128" s="531"/>
      <c r="X128" s="148"/>
      <c r="Y128" s="148"/>
      <c r="Z128" s="148"/>
      <c r="AA128" s="148"/>
      <c r="AB128" s="148"/>
      <c r="AC128" s="531"/>
      <c r="AD128" s="148"/>
      <c r="AE128" s="148"/>
      <c r="AF128" s="148"/>
      <c r="AG128" s="148"/>
      <c r="AH128" s="148"/>
      <c r="AI128" s="646">
        <f t="shared" si="8"/>
        <v>0</v>
      </c>
      <c r="AJ128" s="326"/>
    </row>
    <row r="129" spans="1:36" s="83" customFormat="1" ht="63.75">
      <c r="A129" s="148" t="s">
        <v>383</v>
      </c>
      <c r="B129" s="149"/>
      <c r="C129" s="148"/>
      <c r="D129" s="149" t="s">
        <v>347</v>
      </c>
      <c r="E129" s="148"/>
      <c r="F129" s="531" t="s">
        <v>80</v>
      </c>
      <c r="G129" s="531" t="s">
        <v>350</v>
      </c>
      <c r="H129" s="148" t="s">
        <v>391</v>
      </c>
      <c r="I129" s="149" t="s">
        <v>348</v>
      </c>
      <c r="J129" s="151" t="s">
        <v>384</v>
      </c>
      <c r="K129" s="148"/>
      <c r="L129" s="148"/>
      <c r="M129" s="148"/>
      <c r="N129" s="148"/>
      <c r="O129" s="148"/>
      <c r="P129" s="148"/>
      <c r="Q129" s="531"/>
      <c r="R129" s="148"/>
      <c r="S129" s="148"/>
      <c r="T129" s="148"/>
      <c r="U129" s="148"/>
      <c r="V129" s="148"/>
      <c r="W129" s="531"/>
      <c r="X129" s="148"/>
      <c r="Y129" s="148"/>
      <c r="Z129" s="148"/>
      <c r="AA129" s="148"/>
      <c r="AB129" s="148"/>
      <c r="AC129" s="531"/>
      <c r="AD129" s="148"/>
      <c r="AE129" s="148"/>
      <c r="AF129" s="148"/>
      <c r="AG129" s="148"/>
      <c r="AH129" s="148"/>
      <c r="AI129" s="646">
        <f t="shared" si="8"/>
        <v>0</v>
      </c>
      <c r="AJ129" s="326"/>
    </row>
    <row r="130" spans="1:36" s="83" customFormat="1" ht="63.75">
      <c r="A130" s="9" t="s">
        <v>385</v>
      </c>
      <c r="B130" s="149"/>
      <c r="C130" s="148"/>
      <c r="D130" s="149" t="s">
        <v>347</v>
      </c>
      <c r="E130" s="148"/>
      <c r="F130" s="531" t="s">
        <v>138</v>
      </c>
      <c r="G130" s="531" t="s">
        <v>65</v>
      </c>
      <c r="H130" s="148" t="s">
        <v>391</v>
      </c>
      <c r="I130" s="149" t="s">
        <v>348</v>
      </c>
      <c r="J130" s="151" t="s">
        <v>386</v>
      </c>
      <c r="K130" s="148"/>
      <c r="L130" s="369">
        <v>619200</v>
      </c>
      <c r="M130" s="158"/>
      <c r="N130" s="158"/>
      <c r="O130" s="158"/>
      <c r="P130" s="158"/>
      <c r="Q130" s="599">
        <v>619200</v>
      </c>
      <c r="R130" s="369">
        <v>743040</v>
      </c>
      <c r="S130" s="148"/>
      <c r="T130" s="148"/>
      <c r="U130" s="148"/>
      <c r="V130" s="148"/>
      <c r="W130" s="599">
        <v>743040</v>
      </c>
      <c r="X130" s="148"/>
      <c r="Y130" s="148"/>
      <c r="Z130" s="148"/>
      <c r="AA130" s="148"/>
      <c r="AB130" s="148"/>
      <c r="AC130" s="531"/>
      <c r="AD130" s="148"/>
      <c r="AE130" s="148"/>
      <c r="AF130" s="148"/>
      <c r="AG130" s="148"/>
      <c r="AH130" s="148"/>
      <c r="AI130" s="646">
        <f t="shared" si="8"/>
        <v>0</v>
      </c>
      <c r="AJ130" s="326"/>
    </row>
    <row r="131" spans="1:36" s="83" customFormat="1" ht="331.5">
      <c r="A131" s="9" t="s">
        <v>387</v>
      </c>
      <c r="B131" s="149"/>
      <c r="C131" s="148"/>
      <c r="D131" s="149" t="s">
        <v>347</v>
      </c>
      <c r="E131" s="148" t="s">
        <v>388</v>
      </c>
      <c r="F131" s="531" t="s">
        <v>80</v>
      </c>
      <c r="G131" s="531" t="s">
        <v>350</v>
      </c>
      <c r="H131" s="148" t="s">
        <v>391</v>
      </c>
      <c r="I131" s="149" t="s">
        <v>348</v>
      </c>
      <c r="J131" s="151" t="s">
        <v>386</v>
      </c>
      <c r="K131" s="148"/>
      <c r="L131" s="369">
        <v>743040</v>
      </c>
      <c r="M131" s="158"/>
      <c r="N131" s="158"/>
      <c r="O131" s="158"/>
      <c r="P131" s="158"/>
      <c r="Q131" s="599">
        <v>743040</v>
      </c>
      <c r="R131" s="369">
        <v>891648</v>
      </c>
      <c r="S131" s="148"/>
      <c r="T131" s="148"/>
      <c r="U131" s="148"/>
      <c r="V131" s="148"/>
      <c r="W131" s="599">
        <v>891648</v>
      </c>
      <c r="X131" s="371">
        <v>1069977</v>
      </c>
      <c r="Y131" s="158"/>
      <c r="Z131" s="158"/>
      <c r="AA131" s="158"/>
      <c r="AB131" s="158"/>
      <c r="AC131" s="587">
        <f>SUM(X131)</f>
        <v>1069977</v>
      </c>
      <c r="AD131" s="371">
        <v>1283973</v>
      </c>
      <c r="AE131" s="148"/>
      <c r="AF131" s="148"/>
      <c r="AG131" s="148"/>
      <c r="AH131" s="148"/>
      <c r="AI131" s="652">
        <f>SUM(AD131:AH131)</f>
        <v>1283973</v>
      </c>
      <c r="AJ131" s="326"/>
    </row>
    <row r="132" spans="1:36" s="83" customFormat="1" ht="15.75">
      <c r="A132" s="166" t="s">
        <v>276</v>
      </c>
      <c r="B132" s="167"/>
      <c r="C132" s="168"/>
      <c r="D132" s="167"/>
      <c r="E132" s="168"/>
      <c r="F132" s="534"/>
      <c r="G132" s="534"/>
      <c r="H132" s="169"/>
      <c r="I132" s="170"/>
      <c r="J132" s="171"/>
      <c r="K132" s="172"/>
      <c r="L132" s="372">
        <v>9557954</v>
      </c>
      <c r="M132" s="174"/>
      <c r="N132" s="174"/>
      <c r="O132" s="173"/>
      <c r="P132" s="174"/>
      <c r="Q132" s="588">
        <f>SUM(L132+O132)</f>
        <v>9557954</v>
      </c>
      <c r="R132" s="372">
        <v>5791928</v>
      </c>
      <c r="S132" s="175"/>
      <c r="T132" s="175"/>
      <c r="U132" s="176"/>
      <c r="V132" s="175"/>
      <c r="W132" s="588">
        <f>SUM(R132+U132)</f>
        <v>5791928</v>
      </c>
      <c r="X132" s="372">
        <v>1859544</v>
      </c>
      <c r="Y132" s="174"/>
      <c r="Z132" s="174"/>
      <c r="AA132" s="173"/>
      <c r="AB132" s="174"/>
      <c r="AC132" s="588">
        <f>SUM(X132+AA132)</f>
        <v>1859544</v>
      </c>
      <c r="AD132" s="173">
        <v>2218.6210000000001</v>
      </c>
      <c r="AE132" s="175"/>
      <c r="AF132" s="175"/>
      <c r="AG132" s="176"/>
      <c r="AH132" s="175"/>
      <c r="AI132" s="653">
        <v>2218621</v>
      </c>
      <c r="AJ132" s="329">
        <v>19428049</v>
      </c>
    </row>
    <row r="133" spans="1:36" s="83" customFormat="1" ht="15.75">
      <c r="A133" s="413"/>
      <c r="B133" s="414"/>
      <c r="C133" s="415"/>
      <c r="D133" s="414"/>
      <c r="E133" s="415"/>
      <c r="F133" s="535"/>
      <c r="G133" s="535"/>
      <c r="H133" s="416"/>
      <c r="I133" s="417"/>
      <c r="J133" s="418"/>
      <c r="K133" s="295"/>
      <c r="L133" s="420">
        <f>SUM(L102:L131)</f>
        <v>6208254</v>
      </c>
      <c r="M133" s="420">
        <f t="shared" ref="M133:AH133" si="9">SUM(M102:M131)</f>
        <v>0</v>
      </c>
      <c r="N133" s="420">
        <f t="shared" si="9"/>
        <v>0</v>
      </c>
      <c r="O133" s="420">
        <f t="shared" si="9"/>
        <v>0</v>
      </c>
      <c r="P133" s="420">
        <f t="shared" si="9"/>
        <v>0</v>
      </c>
      <c r="Q133" s="589">
        <f>SUM(Q102:Q131)</f>
        <v>6208254</v>
      </c>
      <c r="R133" s="420">
        <f t="shared" si="9"/>
        <v>5791928</v>
      </c>
      <c r="S133" s="420">
        <f t="shared" si="9"/>
        <v>0</v>
      </c>
      <c r="T133" s="420">
        <f t="shared" si="9"/>
        <v>0</v>
      </c>
      <c r="U133" s="420">
        <f t="shared" si="9"/>
        <v>0</v>
      </c>
      <c r="V133" s="420">
        <f t="shared" si="9"/>
        <v>0</v>
      </c>
      <c r="W133" s="589">
        <f t="shared" si="9"/>
        <v>5791928</v>
      </c>
      <c r="X133" s="420">
        <f t="shared" si="9"/>
        <v>1859543</v>
      </c>
      <c r="Y133" s="420">
        <f t="shared" si="9"/>
        <v>0</v>
      </c>
      <c r="Z133" s="420">
        <f t="shared" si="9"/>
        <v>0</v>
      </c>
      <c r="AA133" s="420">
        <f t="shared" si="9"/>
        <v>0</v>
      </c>
      <c r="AB133" s="420">
        <f t="shared" si="9"/>
        <v>0</v>
      </c>
      <c r="AC133" s="589">
        <f t="shared" si="9"/>
        <v>1859543</v>
      </c>
      <c r="AD133" s="420">
        <f t="shared" si="9"/>
        <v>2218621</v>
      </c>
      <c r="AE133" s="420">
        <f t="shared" si="9"/>
        <v>0</v>
      </c>
      <c r="AF133" s="420">
        <f t="shared" si="9"/>
        <v>0</v>
      </c>
      <c r="AG133" s="420">
        <f t="shared" si="9"/>
        <v>0</v>
      </c>
      <c r="AH133" s="420">
        <f t="shared" si="9"/>
        <v>0</v>
      </c>
      <c r="AI133" s="589">
        <f>SUM(AI102:AI131)</f>
        <v>2218621</v>
      </c>
      <c r="AJ133" s="419">
        <f>SUM(AI133+AC133+W133+Q133)</f>
        <v>16078346</v>
      </c>
    </row>
    <row r="134" spans="1:36">
      <c r="A134" s="137"/>
      <c r="B134" s="137"/>
      <c r="C134" s="137"/>
      <c r="D134" s="137"/>
      <c r="E134" s="137"/>
      <c r="F134" s="517"/>
      <c r="G134" s="517"/>
      <c r="H134" s="137"/>
      <c r="I134" s="137"/>
      <c r="J134" s="137"/>
      <c r="K134" s="137"/>
      <c r="L134" s="137"/>
      <c r="M134" s="137"/>
      <c r="N134" s="137"/>
      <c r="O134" s="137"/>
      <c r="P134" s="137"/>
      <c r="Q134" s="517"/>
      <c r="R134" s="137"/>
      <c r="S134" s="137"/>
      <c r="T134" s="137"/>
      <c r="U134" s="137"/>
      <c r="V134" s="137"/>
      <c r="W134" s="517"/>
      <c r="X134" s="137"/>
      <c r="Y134" s="137"/>
      <c r="Z134" s="137"/>
      <c r="AA134" s="137"/>
      <c r="AB134" s="137"/>
      <c r="AC134" s="517"/>
      <c r="AD134" s="137"/>
      <c r="AE134" s="137"/>
      <c r="AF134" s="137"/>
      <c r="AG134" s="137"/>
      <c r="AH134" s="137"/>
      <c r="AJ134" s="486">
        <f>AI133+AC133+W133+Q133</f>
        <v>16078346</v>
      </c>
    </row>
    <row r="135" spans="1:36">
      <c r="A135" s="138" t="s">
        <v>407</v>
      </c>
      <c r="B135" s="137"/>
      <c r="C135" s="137"/>
      <c r="D135" s="137"/>
      <c r="E135" s="137"/>
      <c r="F135" s="517"/>
      <c r="G135" s="517"/>
      <c r="H135" s="137"/>
      <c r="I135" s="137"/>
      <c r="J135" s="137"/>
      <c r="K135" s="137"/>
      <c r="L135" s="137"/>
      <c r="M135" s="137"/>
      <c r="N135" s="137"/>
      <c r="O135" s="137"/>
      <c r="P135" s="137"/>
      <c r="Q135" s="517"/>
      <c r="R135" s="137"/>
      <c r="S135" s="137"/>
      <c r="T135" s="137"/>
      <c r="U135" s="137"/>
      <c r="V135" s="137"/>
      <c r="W135" s="517"/>
      <c r="X135" s="137"/>
      <c r="Y135" s="137"/>
      <c r="Z135" s="137"/>
      <c r="AA135" s="137"/>
      <c r="AB135" s="137"/>
      <c r="AC135" s="517"/>
      <c r="AD135" s="137"/>
      <c r="AE135" s="137"/>
      <c r="AF135" s="137"/>
      <c r="AG135" s="137"/>
      <c r="AH135" s="137"/>
    </row>
    <row r="136" spans="1:36" ht="15.75" thickBot="1">
      <c r="A136" s="137"/>
      <c r="B136" s="137"/>
      <c r="C136" s="137"/>
      <c r="D136" s="137"/>
      <c r="E136" s="137"/>
      <c r="F136" s="517"/>
      <c r="G136" s="517"/>
      <c r="H136" s="137"/>
      <c r="I136" s="137"/>
      <c r="J136" s="137"/>
      <c r="K136" s="137"/>
      <c r="L136" s="137"/>
      <c r="M136" s="137"/>
      <c r="N136" s="137"/>
      <c r="O136" s="137"/>
      <c r="P136" s="137"/>
      <c r="Q136" s="517"/>
      <c r="R136" s="137"/>
      <c r="S136" s="137"/>
      <c r="T136" s="137"/>
      <c r="U136" s="137"/>
      <c r="V136" s="137"/>
      <c r="W136" s="517"/>
      <c r="X136" s="137"/>
      <c r="Y136" s="137"/>
      <c r="Z136" s="137"/>
      <c r="AA136" s="137"/>
      <c r="AB136" s="137"/>
      <c r="AC136" s="517"/>
      <c r="AD136" s="137"/>
      <c r="AE136" s="137"/>
      <c r="AF136" s="137"/>
      <c r="AG136" s="137"/>
      <c r="AH136" s="137"/>
    </row>
    <row r="137" spans="1:36" ht="15" customHeight="1">
      <c r="A137" s="1126"/>
      <c r="B137" s="1129" t="s">
        <v>215</v>
      </c>
      <c r="C137" s="1129" t="s">
        <v>279</v>
      </c>
      <c r="D137" s="1132" t="s">
        <v>0</v>
      </c>
      <c r="E137" s="1121" t="s">
        <v>210</v>
      </c>
      <c r="F137" s="1196" t="s">
        <v>5</v>
      </c>
      <c r="G137" s="1197"/>
      <c r="H137" s="1198" t="s">
        <v>22</v>
      </c>
      <c r="I137" s="1118" t="s">
        <v>281</v>
      </c>
      <c r="J137" s="1121" t="s">
        <v>212</v>
      </c>
      <c r="K137" s="1121" t="s">
        <v>282</v>
      </c>
      <c r="L137" s="1056" t="s">
        <v>452</v>
      </c>
      <c r="M137" s="1124"/>
      <c r="N137" s="1124"/>
      <c r="O137" s="1124"/>
      <c r="P137" s="1124"/>
      <c r="Q137" s="1125"/>
      <c r="R137" s="1056" t="s">
        <v>453</v>
      </c>
      <c r="S137" s="1124"/>
      <c r="T137" s="1124"/>
      <c r="U137" s="1124"/>
      <c r="V137" s="1124"/>
      <c r="W137" s="1125"/>
      <c r="X137" s="1056" t="s">
        <v>453</v>
      </c>
      <c r="Y137" s="1124"/>
      <c r="Z137" s="1124"/>
      <c r="AA137" s="1124"/>
      <c r="AB137" s="1124"/>
      <c r="AC137" s="1125"/>
      <c r="AD137" s="1056" t="s">
        <v>454</v>
      </c>
      <c r="AE137" s="1057"/>
      <c r="AF137" s="1057"/>
      <c r="AG137" s="1057"/>
      <c r="AH137" s="1057"/>
      <c r="AI137" s="654"/>
      <c r="AJ137" s="331"/>
    </row>
    <row r="138" spans="1:36">
      <c r="A138" s="1127"/>
      <c r="B138" s="1130"/>
      <c r="C138" s="1130"/>
      <c r="D138" s="1115"/>
      <c r="E138" s="1122"/>
      <c r="F138" s="1192" t="s">
        <v>455</v>
      </c>
      <c r="G138" s="1194" t="s">
        <v>6</v>
      </c>
      <c r="H138" s="1199"/>
      <c r="I138" s="1119"/>
      <c r="J138" s="1122"/>
      <c r="K138" s="1122"/>
      <c r="L138" s="1108">
        <v>2013</v>
      </c>
      <c r="M138" s="1109"/>
      <c r="N138" s="1109"/>
      <c r="O138" s="1109"/>
      <c r="P138" s="1109"/>
      <c r="Q138" s="1110"/>
      <c r="R138" s="1115">
        <v>2014</v>
      </c>
      <c r="S138" s="1115"/>
      <c r="T138" s="1115"/>
      <c r="U138" s="1115"/>
      <c r="V138" s="1115"/>
      <c r="W138" s="1115"/>
      <c r="X138" s="1115">
        <v>2015</v>
      </c>
      <c r="Y138" s="1115"/>
      <c r="Z138" s="1115"/>
      <c r="AA138" s="1115"/>
      <c r="AB138" s="1115"/>
      <c r="AC138" s="1115"/>
      <c r="AD138" s="1115">
        <v>2016</v>
      </c>
      <c r="AE138" s="1115"/>
      <c r="AF138" s="1115"/>
      <c r="AG138" s="1115"/>
      <c r="AH138" s="1115"/>
      <c r="AI138" s="655"/>
      <c r="AJ138" s="330"/>
    </row>
    <row r="139" spans="1:36" ht="30.75" thickBot="1">
      <c r="A139" s="1128"/>
      <c r="B139" s="1131"/>
      <c r="C139" s="1131"/>
      <c r="D139" s="1133"/>
      <c r="E139" s="1123"/>
      <c r="F139" s="1193"/>
      <c r="G139" s="1195"/>
      <c r="H139" s="1200"/>
      <c r="I139" s="1120"/>
      <c r="J139" s="1123"/>
      <c r="K139" s="1123"/>
      <c r="L139" s="197" t="s">
        <v>1</v>
      </c>
      <c r="M139" s="198" t="s">
        <v>2</v>
      </c>
      <c r="N139" s="197" t="s">
        <v>3</v>
      </c>
      <c r="O139" s="197" t="s">
        <v>66</v>
      </c>
      <c r="P139" s="198" t="s">
        <v>19</v>
      </c>
      <c r="Q139" s="538" t="s">
        <v>4</v>
      </c>
      <c r="R139" s="197" t="s">
        <v>1</v>
      </c>
      <c r="S139" s="198" t="s">
        <v>2</v>
      </c>
      <c r="T139" s="197" t="s">
        <v>3</v>
      </c>
      <c r="U139" s="197" t="s">
        <v>66</v>
      </c>
      <c r="V139" s="198" t="s">
        <v>19</v>
      </c>
      <c r="W139" s="538" t="s">
        <v>4</v>
      </c>
      <c r="X139" s="197" t="s">
        <v>1</v>
      </c>
      <c r="Y139" s="198" t="s">
        <v>2</v>
      </c>
      <c r="Z139" s="197" t="s">
        <v>3</v>
      </c>
      <c r="AA139" s="197" t="s">
        <v>66</v>
      </c>
      <c r="AB139" s="198" t="s">
        <v>19</v>
      </c>
      <c r="AC139" s="538" t="s">
        <v>4</v>
      </c>
      <c r="AD139" s="197" t="s">
        <v>1</v>
      </c>
      <c r="AE139" s="198" t="s">
        <v>2</v>
      </c>
      <c r="AF139" s="197" t="s">
        <v>3</v>
      </c>
      <c r="AG139" s="197" t="s">
        <v>66</v>
      </c>
      <c r="AH139" s="198" t="s">
        <v>19</v>
      </c>
      <c r="AI139" s="656" t="s">
        <v>688</v>
      </c>
      <c r="AJ139" s="334" t="s">
        <v>691</v>
      </c>
    </row>
    <row r="140" spans="1:36">
      <c r="A140" s="137"/>
      <c r="B140" s="137"/>
      <c r="C140" s="137"/>
      <c r="D140" s="137"/>
      <c r="E140" s="137"/>
      <c r="F140" s="517"/>
      <c r="G140" s="517"/>
      <c r="H140" s="137"/>
      <c r="I140" s="137"/>
      <c r="J140" s="137"/>
      <c r="K140" s="137"/>
      <c r="L140" s="137"/>
      <c r="M140" s="137"/>
      <c r="N140" s="137"/>
      <c r="O140" s="137"/>
      <c r="P140" s="137"/>
      <c r="Q140" s="517"/>
      <c r="R140" s="137"/>
      <c r="S140" s="137"/>
      <c r="T140" s="137"/>
      <c r="U140" s="137"/>
      <c r="V140" s="137"/>
      <c r="W140" s="517"/>
      <c r="X140" s="137"/>
      <c r="Y140" s="137"/>
      <c r="Z140" s="137"/>
      <c r="AA140" s="137"/>
      <c r="AB140" s="137"/>
      <c r="AC140" s="517"/>
      <c r="AD140" s="137"/>
      <c r="AE140" s="137"/>
      <c r="AF140" s="137"/>
      <c r="AG140" s="137"/>
      <c r="AH140" s="137"/>
      <c r="AI140" s="655"/>
      <c r="AJ140" s="330"/>
    </row>
    <row r="141" spans="1:36" ht="165.75">
      <c r="A141" s="201" t="s">
        <v>678</v>
      </c>
      <c r="B141" s="202"/>
      <c r="C141" s="203"/>
      <c r="D141" s="196" t="s">
        <v>407</v>
      </c>
      <c r="E141" s="204" t="s">
        <v>408</v>
      </c>
      <c r="F141" s="536"/>
      <c r="G141" s="536"/>
      <c r="H141" s="206"/>
      <c r="I141" s="207"/>
      <c r="J141" s="208"/>
      <c r="K141" s="205"/>
      <c r="L141" s="489">
        <v>41666</v>
      </c>
      <c r="M141" s="490"/>
      <c r="N141" s="490"/>
      <c r="O141" s="490"/>
      <c r="P141" s="490"/>
      <c r="Q141" s="590">
        <f>SUM(L141:P141)</f>
        <v>41666</v>
      </c>
      <c r="R141" s="489">
        <v>41666</v>
      </c>
      <c r="S141" s="490"/>
      <c r="T141" s="490"/>
      <c r="U141" s="490"/>
      <c r="V141" s="490"/>
      <c r="W141" s="590">
        <f>SUM(R141:V141)</f>
        <v>41666</v>
      </c>
      <c r="X141" s="489">
        <v>41666</v>
      </c>
      <c r="Y141" s="490"/>
      <c r="Z141" s="490"/>
      <c r="AA141" s="490"/>
      <c r="AB141" s="490"/>
      <c r="AC141" s="590">
        <f>SUM(X141:AB141)</f>
        <v>41666</v>
      </c>
      <c r="AD141" s="489">
        <v>41666</v>
      </c>
      <c r="AE141" s="490"/>
      <c r="AF141" s="490"/>
      <c r="AG141" s="490"/>
      <c r="AH141" s="490"/>
      <c r="AI141" s="590">
        <f>SUM(AD141:AH141)</f>
        <v>41666</v>
      </c>
      <c r="AJ141" s="330"/>
    </row>
    <row r="142" spans="1:36" ht="178.5">
      <c r="A142" s="207"/>
      <c r="B142" s="203"/>
      <c r="C142" s="203"/>
      <c r="D142" s="196" t="s">
        <v>407</v>
      </c>
      <c r="E142" s="200" t="s">
        <v>409</v>
      </c>
      <c r="F142" s="536"/>
      <c r="G142" s="536"/>
      <c r="H142" s="206"/>
      <c r="I142" s="207"/>
      <c r="J142" s="208"/>
      <c r="K142" s="205"/>
      <c r="L142" s="205"/>
      <c r="M142" s="205"/>
      <c r="N142" s="205"/>
      <c r="O142" s="205"/>
      <c r="P142" s="205"/>
      <c r="Q142" s="536"/>
      <c r="R142" s="205"/>
      <c r="S142" s="205"/>
      <c r="T142" s="205"/>
      <c r="U142" s="205"/>
      <c r="V142" s="205"/>
      <c r="W142" s="590">
        <f t="shared" ref="W142:W149" si="10">SUM(R142:V142)</f>
        <v>0</v>
      </c>
      <c r="X142" s="205"/>
      <c r="Y142" s="205"/>
      <c r="Z142" s="205"/>
      <c r="AA142" s="205"/>
      <c r="AB142" s="205"/>
      <c r="AC142" s="536"/>
      <c r="AD142" s="205"/>
      <c r="AE142" s="205"/>
      <c r="AF142" s="205"/>
      <c r="AG142" s="205"/>
      <c r="AH142" s="205"/>
      <c r="AI142" s="536"/>
      <c r="AJ142" s="330"/>
    </row>
    <row r="143" spans="1:36" ht="89.25">
      <c r="A143" s="207"/>
      <c r="B143" s="203"/>
      <c r="C143" s="203"/>
      <c r="D143" s="196" t="s">
        <v>407</v>
      </c>
      <c r="E143" s="203" t="s">
        <v>410</v>
      </c>
      <c r="F143" s="536"/>
      <c r="G143" s="536"/>
      <c r="H143" s="206"/>
      <c r="I143" s="207"/>
      <c r="J143" s="208"/>
      <c r="K143" s="205"/>
      <c r="L143" s="205"/>
      <c r="M143" s="205"/>
      <c r="N143" s="205"/>
      <c r="O143" s="205"/>
      <c r="P143" s="205"/>
      <c r="Q143" s="536"/>
      <c r="R143" s="205"/>
      <c r="S143" s="205"/>
      <c r="T143" s="205"/>
      <c r="U143" s="205"/>
      <c r="V143" s="205"/>
      <c r="W143" s="590">
        <f t="shared" si="10"/>
        <v>0</v>
      </c>
      <c r="X143" s="205"/>
      <c r="Y143" s="205"/>
      <c r="Z143" s="205"/>
      <c r="AA143" s="205"/>
      <c r="AB143" s="205"/>
      <c r="AC143" s="536"/>
      <c r="AD143" s="205"/>
      <c r="AE143" s="205"/>
      <c r="AF143" s="205"/>
      <c r="AG143" s="205"/>
      <c r="AH143" s="205"/>
      <c r="AI143" s="536"/>
      <c r="AJ143" s="330"/>
    </row>
    <row r="144" spans="1:36" ht="102">
      <c r="A144" s="207"/>
      <c r="B144" s="203"/>
      <c r="C144" s="203"/>
      <c r="D144" s="196" t="s">
        <v>407</v>
      </c>
      <c r="E144" s="203" t="s">
        <v>411</v>
      </c>
      <c r="F144" s="536"/>
      <c r="G144" s="536"/>
      <c r="H144" s="206"/>
      <c r="I144" s="207"/>
      <c r="J144" s="208"/>
      <c r="K144" s="205"/>
      <c r="L144" s="205"/>
      <c r="M144" s="205"/>
      <c r="N144" s="205"/>
      <c r="O144" s="205"/>
      <c r="P144" s="205"/>
      <c r="Q144" s="536"/>
      <c r="R144" s="205"/>
      <c r="S144" s="205"/>
      <c r="T144" s="205"/>
      <c r="U144" s="205"/>
      <c r="V144" s="205"/>
      <c r="W144" s="590">
        <f t="shared" si="10"/>
        <v>0</v>
      </c>
      <c r="X144" s="205"/>
      <c r="Y144" s="205"/>
      <c r="Z144" s="205"/>
      <c r="AA144" s="205"/>
      <c r="AB144" s="205"/>
      <c r="AC144" s="536"/>
      <c r="AD144" s="205"/>
      <c r="AE144" s="205"/>
      <c r="AF144" s="205"/>
      <c r="AG144" s="205"/>
      <c r="AH144" s="205"/>
      <c r="AI144" s="536"/>
      <c r="AJ144" s="330"/>
    </row>
    <row r="145" spans="1:36" ht="76.5">
      <c r="A145" s="201" t="s">
        <v>679</v>
      </c>
      <c r="B145" s="210"/>
      <c r="C145" s="210"/>
      <c r="D145" s="196" t="s">
        <v>407</v>
      </c>
      <c r="E145" s="210" t="s">
        <v>412</v>
      </c>
      <c r="F145" s="536"/>
      <c r="G145" s="536"/>
      <c r="H145" s="206"/>
      <c r="I145" s="207"/>
      <c r="J145" s="208"/>
      <c r="K145" s="205"/>
      <c r="L145" s="492">
        <v>6666</v>
      </c>
      <c r="M145" s="490"/>
      <c r="N145" s="490"/>
      <c r="O145" s="490"/>
      <c r="P145" s="490"/>
      <c r="Q145" s="591">
        <f>SUM(L145:P145)</f>
        <v>6666</v>
      </c>
      <c r="R145" s="492">
        <v>6666</v>
      </c>
      <c r="S145" s="205"/>
      <c r="T145" s="205"/>
      <c r="U145" s="205"/>
      <c r="V145" s="205"/>
      <c r="W145" s="590">
        <f t="shared" si="10"/>
        <v>6666</v>
      </c>
      <c r="X145" s="492">
        <v>6666</v>
      </c>
      <c r="Y145" s="490"/>
      <c r="Z145" s="490"/>
      <c r="AA145" s="490"/>
      <c r="AB145" s="490"/>
      <c r="AC145" s="591">
        <f>SUM(X145:AB145)</f>
        <v>6666</v>
      </c>
      <c r="AD145" s="492">
        <v>6666</v>
      </c>
      <c r="AE145" s="490"/>
      <c r="AF145" s="490"/>
      <c r="AG145" s="490"/>
      <c r="AH145" s="490"/>
      <c r="AI145" s="590">
        <f>SUM(AD145:AH145)</f>
        <v>6666</v>
      </c>
      <c r="AJ145" s="330"/>
    </row>
    <row r="146" spans="1:36" ht="89.25">
      <c r="A146" s="201"/>
      <c r="B146" s="210"/>
      <c r="C146" s="210"/>
      <c r="D146" s="196" t="s">
        <v>407</v>
      </c>
      <c r="E146" s="210" t="s">
        <v>413</v>
      </c>
      <c r="F146" s="536"/>
      <c r="G146" s="536"/>
      <c r="H146" s="206"/>
      <c r="I146" s="207"/>
      <c r="J146" s="208"/>
      <c r="K146" s="205"/>
      <c r="L146" s="205"/>
      <c r="M146" s="205"/>
      <c r="N146" s="205"/>
      <c r="O146" s="205"/>
      <c r="P146" s="205"/>
      <c r="Q146" s="536"/>
      <c r="R146" s="205"/>
      <c r="S146" s="205"/>
      <c r="T146" s="205"/>
      <c r="U146" s="205"/>
      <c r="V146" s="205"/>
      <c r="W146" s="590">
        <f t="shared" si="10"/>
        <v>0</v>
      </c>
      <c r="X146" s="205"/>
      <c r="Y146" s="205"/>
      <c r="Z146" s="205"/>
      <c r="AA146" s="205"/>
      <c r="AB146" s="205"/>
      <c r="AC146" s="536"/>
      <c r="AD146" s="205"/>
      <c r="AE146" s="205"/>
      <c r="AF146" s="205"/>
      <c r="AG146" s="205"/>
      <c r="AH146" s="205"/>
      <c r="AI146" s="536"/>
      <c r="AJ146" s="330"/>
    </row>
    <row r="147" spans="1:36" ht="76.5">
      <c r="A147" s="201"/>
      <c r="B147" s="210"/>
      <c r="C147" s="210"/>
      <c r="D147" s="196" t="s">
        <v>407</v>
      </c>
      <c r="E147" s="210" t="s">
        <v>414</v>
      </c>
      <c r="F147" s="536"/>
      <c r="G147" s="536"/>
      <c r="H147" s="206"/>
      <c r="I147" s="207"/>
      <c r="J147" s="208"/>
      <c r="K147" s="205"/>
      <c r="L147" s="205"/>
      <c r="M147" s="205"/>
      <c r="N147" s="205"/>
      <c r="O147" s="205"/>
      <c r="P147" s="205"/>
      <c r="Q147" s="536"/>
      <c r="R147" s="205"/>
      <c r="S147" s="205"/>
      <c r="T147" s="205"/>
      <c r="U147" s="205"/>
      <c r="V147" s="205"/>
      <c r="W147" s="590">
        <f t="shared" si="10"/>
        <v>0</v>
      </c>
      <c r="X147" s="205"/>
      <c r="Y147" s="205"/>
      <c r="Z147" s="205"/>
      <c r="AA147" s="205"/>
      <c r="AB147" s="205"/>
      <c r="AC147" s="536"/>
      <c r="AD147" s="205"/>
      <c r="AE147" s="205"/>
      <c r="AF147" s="205"/>
      <c r="AG147" s="205"/>
      <c r="AH147" s="205"/>
      <c r="AI147" s="536"/>
      <c r="AJ147" s="330"/>
    </row>
    <row r="148" spans="1:36" ht="127.5">
      <c r="A148" s="201"/>
      <c r="B148" s="210"/>
      <c r="C148" s="210"/>
      <c r="D148" s="196" t="s">
        <v>407</v>
      </c>
      <c r="E148" s="210" t="s">
        <v>415</v>
      </c>
      <c r="F148" s="536"/>
      <c r="G148" s="536"/>
      <c r="H148" s="206"/>
      <c r="I148" s="207"/>
      <c r="J148" s="208"/>
      <c r="K148" s="205"/>
      <c r="L148" s="205"/>
      <c r="M148" s="205"/>
      <c r="N148" s="205"/>
      <c r="O148" s="205"/>
      <c r="P148" s="205"/>
      <c r="Q148" s="536"/>
      <c r="R148" s="205"/>
      <c r="S148" s="205"/>
      <c r="T148" s="205"/>
      <c r="U148" s="205"/>
      <c r="V148" s="205"/>
      <c r="W148" s="590">
        <f t="shared" si="10"/>
        <v>0</v>
      </c>
      <c r="X148" s="205"/>
      <c r="Y148" s="205"/>
      <c r="Z148" s="205"/>
      <c r="AA148" s="205"/>
      <c r="AB148" s="205"/>
      <c r="AC148" s="536"/>
      <c r="AD148" s="205"/>
      <c r="AE148" s="205"/>
      <c r="AF148" s="205"/>
      <c r="AG148" s="205"/>
      <c r="AH148" s="205"/>
      <c r="AI148" s="536"/>
      <c r="AJ148" s="330"/>
    </row>
    <row r="149" spans="1:36" ht="140.25">
      <c r="A149" s="201" t="s">
        <v>680</v>
      </c>
      <c r="B149" s="203"/>
      <c r="C149" s="203"/>
      <c r="D149" s="196" t="s">
        <v>407</v>
      </c>
      <c r="E149" s="203" t="s">
        <v>416</v>
      </c>
      <c r="F149" s="536"/>
      <c r="G149" s="536"/>
      <c r="H149" s="206"/>
      <c r="I149" s="207"/>
      <c r="J149" s="208"/>
      <c r="K149" s="205"/>
      <c r="L149" s="489">
        <v>8333</v>
      </c>
      <c r="M149" s="490"/>
      <c r="N149" s="490"/>
      <c r="O149" s="490"/>
      <c r="P149" s="490"/>
      <c r="Q149" s="591">
        <f>SUM(L149:P149)</f>
        <v>8333</v>
      </c>
      <c r="R149" s="489">
        <v>8333</v>
      </c>
      <c r="S149" s="205"/>
      <c r="T149" s="205"/>
      <c r="U149" s="205"/>
      <c r="V149" s="205"/>
      <c r="W149" s="590">
        <f t="shared" si="10"/>
        <v>8333</v>
      </c>
      <c r="X149" s="489">
        <v>8333</v>
      </c>
      <c r="Y149" s="490"/>
      <c r="Z149" s="490"/>
      <c r="AA149" s="490"/>
      <c r="AB149" s="490"/>
      <c r="AC149" s="591">
        <f>SUM(X149:AB149)</f>
        <v>8333</v>
      </c>
      <c r="AD149" s="489">
        <v>8333</v>
      </c>
      <c r="AE149" s="490"/>
      <c r="AF149" s="490"/>
      <c r="AG149" s="490"/>
      <c r="AH149" s="490"/>
      <c r="AI149" s="590">
        <f>SUM(AD149:AH149)</f>
        <v>8333</v>
      </c>
      <c r="AJ149" s="330"/>
    </row>
    <row r="150" spans="1:36" ht="102">
      <c r="A150" s="201"/>
      <c r="B150" s="203"/>
      <c r="C150" s="203"/>
      <c r="D150" s="196" t="s">
        <v>407</v>
      </c>
      <c r="E150" s="203" t="s">
        <v>417</v>
      </c>
      <c r="F150" s="536"/>
      <c r="G150" s="536"/>
      <c r="H150" s="206"/>
      <c r="I150" s="207"/>
      <c r="J150" s="208"/>
      <c r="K150" s="205"/>
      <c r="L150" s="205"/>
      <c r="M150" s="205"/>
      <c r="N150" s="205"/>
      <c r="O150" s="205"/>
      <c r="P150" s="205"/>
      <c r="Q150" s="592"/>
      <c r="R150" s="205"/>
      <c r="S150" s="205"/>
      <c r="T150" s="205"/>
      <c r="U150" s="205"/>
      <c r="V150" s="205"/>
      <c r="W150" s="592"/>
      <c r="X150" s="205"/>
      <c r="Y150" s="205"/>
      <c r="Z150" s="205"/>
      <c r="AA150" s="205"/>
      <c r="AB150" s="205"/>
      <c r="AC150" s="592"/>
      <c r="AD150" s="205"/>
      <c r="AE150" s="205"/>
      <c r="AF150" s="205"/>
      <c r="AG150" s="205"/>
      <c r="AH150" s="205"/>
      <c r="AI150" s="592"/>
      <c r="AJ150" s="330"/>
    </row>
    <row r="151" spans="1:36" ht="63.75">
      <c r="A151" s="201"/>
      <c r="B151" s="203"/>
      <c r="C151" s="203"/>
      <c r="D151" s="196" t="s">
        <v>407</v>
      </c>
      <c r="E151" s="203" t="s">
        <v>418</v>
      </c>
      <c r="F151" s="536"/>
      <c r="G151" s="536"/>
      <c r="H151" s="206"/>
      <c r="I151" s="207"/>
      <c r="J151" s="208"/>
      <c r="K151" s="205"/>
      <c r="L151" s="205"/>
      <c r="M151" s="205"/>
      <c r="N151" s="205"/>
      <c r="O151" s="205"/>
      <c r="P151" s="205"/>
      <c r="Q151" s="592"/>
      <c r="R151" s="205"/>
      <c r="S151" s="205"/>
      <c r="T151" s="205"/>
      <c r="U151" s="205"/>
      <c r="V151" s="205"/>
      <c r="W151" s="592"/>
      <c r="X151" s="205"/>
      <c r="Y151" s="205"/>
      <c r="Z151" s="205"/>
      <c r="AA151" s="205"/>
      <c r="AB151" s="205"/>
      <c r="AC151" s="592"/>
      <c r="AD151" s="205"/>
      <c r="AE151" s="205"/>
      <c r="AF151" s="205"/>
      <c r="AG151" s="205"/>
      <c r="AH151" s="205"/>
      <c r="AI151" s="592"/>
      <c r="AJ151" s="330"/>
    </row>
    <row r="152" spans="1:36" ht="89.25">
      <c r="A152" s="207"/>
      <c r="B152" s="211"/>
      <c r="C152" s="199"/>
      <c r="D152" s="196" t="s">
        <v>407</v>
      </c>
      <c r="E152" s="203" t="s">
        <v>419</v>
      </c>
      <c r="F152" s="536"/>
      <c r="G152" s="536"/>
      <c r="H152" s="206"/>
      <c r="I152" s="207"/>
      <c r="J152" s="208"/>
      <c r="K152" s="205"/>
      <c r="L152" s="205"/>
      <c r="M152" s="205"/>
      <c r="N152" s="205"/>
      <c r="O152" s="205"/>
      <c r="P152" s="205"/>
      <c r="Q152" s="536"/>
      <c r="R152" s="205"/>
      <c r="S152" s="205"/>
      <c r="T152" s="205"/>
      <c r="U152" s="205"/>
      <c r="V152" s="205"/>
      <c r="W152" s="536"/>
      <c r="X152" s="205"/>
      <c r="Y152" s="205"/>
      <c r="Z152" s="205"/>
      <c r="AA152" s="205"/>
      <c r="AB152" s="205"/>
      <c r="AC152" s="536"/>
      <c r="AD152" s="205"/>
      <c r="AE152" s="205"/>
      <c r="AF152" s="205"/>
      <c r="AG152" s="205"/>
      <c r="AH152" s="205"/>
      <c r="AI152" s="536"/>
      <c r="AJ152" s="330"/>
    </row>
    <row r="153" spans="1:36" ht="204">
      <c r="A153" s="201" t="s">
        <v>681</v>
      </c>
      <c r="B153" s="202"/>
      <c r="C153" s="199"/>
      <c r="D153" s="196" t="s">
        <v>407</v>
      </c>
      <c r="E153" s="210" t="s">
        <v>420</v>
      </c>
      <c r="F153" s="536"/>
      <c r="G153" s="536"/>
      <c r="H153" s="206"/>
      <c r="I153" s="207"/>
      <c r="J153" s="208"/>
      <c r="K153" s="205"/>
      <c r="L153" s="492">
        <v>6666</v>
      </c>
      <c r="M153" s="490"/>
      <c r="N153" s="490"/>
      <c r="O153" s="490"/>
      <c r="P153" s="490"/>
      <c r="Q153" s="591">
        <f>SUM(L153:P153)</f>
        <v>6666</v>
      </c>
      <c r="R153" s="492">
        <v>6666</v>
      </c>
      <c r="S153" s="490"/>
      <c r="T153" s="490"/>
      <c r="U153" s="490"/>
      <c r="V153" s="490"/>
      <c r="W153" s="591">
        <f>SUM(R153:V153)</f>
        <v>6666</v>
      </c>
      <c r="X153" s="492">
        <v>6666</v>
      </c>
      <c r="Y153" s="490"/>
      <c r="Z153" s="490"/>
      <c r="AA153" s="490"/>
      <c r="AB153" s="490"/>
      <c r="AC153" s="591">
        <f>SUM(X153:AB153)</f>
        <v>6666</v>
      </c>
      <c r="AD153" s="492">
        <v>6666</v>
      </c>
      <c r="AE153" s="490"/>
      <c r="AF153" s="490"/>
      <c r="AG153" s="490"/>
      <c r="AH153" s="490"/>
      <c r="AI153" s="590">
        <f>SUM(AD153:AH153)</f>
        <v>6666</v>
      </c>
      <c r="AJ153" s="330"/>
    </row>
    <row r="154" spans="1:36" ht="51">
      <c r="A154" s="201"/>
      <c r="B154" s="212"/>
      <c r="C154" s="199"/>
      <c r="D154" s="196" t="s">
        <v>407</v>
      </c>
      <c r="E154" s="210" t="s">
        <v>421</v>
      </c>
      <c r="F154" s="536"/>
      <c r="G154" s="536"/>
      <c r="H154" s="206"/>
      <c r="I154" s="207"/>
      <c r="J154" s="208"/>
      <c r="K154" s="205"/>
      <c r="L154" s="205"/>
      <c r="M154" s="205"/>
      <c r="N154" s="205"/>
      <c r="O154" s="205"/>
      <c r="P154" s="205"/>
      <c r="Q154" s="536"/>
      <c r="R154" s="205"/>
      <c r="S154" s="205"/>
      <c r="T154" s="205"/>
      <c r="U154" s="205"/>
      <c r="V154" s="205"/>
      <c r="W154" s="536"/>
      <c r="X154" s="205"/>
      <c r="Y154" s="205"/>
      <c r="Z154" s="205"/>
      <c r="AA154" s="205"/>
      <c r="AB154" s="205"/>
      <c r="AC154" s="536"/>
      <c r="AD154" s="205"/>
      <c r="AE154" s="205"/>
      <c r="AF154" s="205"/>
      <c r="AG154" s="205"/>
      <c r="AH154" s="205"/>
      <c r="AI154" s="536"/>
      <c r="AJ154" s="330"/>
    </row>
    <row r="155" spans="1:36" ht="63.75">
      <c r="A155" s="201"/>
      <c r="B155" s="212"/>
      <c r="C155" s="203"/>
      <c r="D155" s="196" t="s">
        <v>407</v>
      </c>
      <c r="E155" s="210" t="s">
        <v>422</v>
      </c>
      <c r="F155" s="536"/>
      <c r="G155" s="536"/>
      <c r="H155" s="206"/>
      <c r="I155" s="207"/>
      <c r="J155" s="208"/>
      <c r="K155" s="205"/>
      <c r="L155" s="205"/>
      <c r="M155" s="205"/>
      <c r="N155" s="205"/>
      <c r="O155" s="205"/>
      <c r="P155" s="205"/>
      <c r="Q155" s="536"/>
      <c r="R155" s="205"/>
      <c r="S155" s="205"/>
      <c r="T155" s="205"/>
      <c r="U155" s="205"/>
      <c r="V155" s="205"/>
      <c r="W155" s="536"/>
      <c r="X155" s="205"/>
      <c r="Y155" s="205"/>
      <c r="Z155" s="205"/>
      <c r="AA155" s="205"/>
      <c r="AB155" s="205"/>
      <c r="AC155" s="536"/>
      <c r="AD155" s="205"/>
      <c r="AE155" s="205"/>
      <c r="AF155" s="205"/>
      <c r="AG155" s="205"/>
      <c r="AH155" s="205"/>
      <c r="AI155" s="536"/>
      <c r="AJ155" s="330"/>
    </row>
    <row r="156" spans="1:36" ht="76.5">
      <c r="A156" s="201"/>
      <c r="B156" s="212"/>
      <c r="C156" s="199"/>
      <c r="D156" s="196" t="s">
        <v>407</v>
      </c>
      <c r="E156" s="210" t="s">
        <v>423</v>
      </c>
      <c r="F156" s="536"/>
      <c r="G156" s="536"/>
      <c r="H156" s="206"/>
      <c r="I156" s="207"/>
      <c r="J156" s="208"/>
      <c r="K156" s="205"/>
      <c r="L156" s="205"/>
      <c r="M156" s="205"/>
      <c r="N156" s="205"/>
      <c r="O156" s="205"/>
      <c r="P156" s="205"/>
      <c r="Q156" s="536"/>
      <c r="R156" s="205"/>
      <c r="S156" s="205"/>
      <c r="T156" s="205"/>
      <c r="U156" s="205"/>
      <c r="V156" s="205"/>
      <c r="W156" s="536"/>
      <c r="X156" s="205"/>
      <c r="Y156" s="205"/>
      <c r="Z156" s="205"/>
      <c r="AA156" s="205"/>
      <c r="AB156" s="205"/>
      <c r="AC156" s="536"/>
      <c r="AD156" s="205"/>
      <c r="AE156" s="205"/>
      <c r="AF156" s="205"/>
      <c r="AG156" s="205"/>
      <c r="AH156" s="205"/>
      <c r="AI156" s="536"/>
      <c r="AJ156" s="330"/>
    </row>
    <row r="157" spans="1:36" ht="178.5">
      <c r="A157" s="213" t="s">
        <v>682</v>
      </c>
      <c r="B157" s="202"/>
      <c r="C157" s="199"/>
      <c r="D157" s="196" t="s">
        <v>407</v>
      </c>
      <c r="E157" s="210" t="s">
        <v>424</v>
      </c>
      <c r="F157" s="536"/>
      <c r="G157" s="536"/>
      <c r="H157" s="206"/>
      <c r="I157" s="207"/>
      <c r="J157" s="208"/>
      <c r="K157" s="205"/>
      <c r="L157" s="494">
        <v>16666</v>
      </c>
      <c r="M157" s="490"/>
      <c r="N157" s="490"/>
      <c r="O157" s="490"/>
      <c r="P157" s="490"/>
      <c r="Q157" s="591">
        <f>SUM(L157:P157)</f>
        <v>16666</v>
      </c>
      <c r="R157" s="494">
        <v>16666</v>
      </c>
      <c r="S157" s="490"/>
      <c r="T157" s="490"/>
      <c r="U157" s="490"/>
      <c r="V157" s="490"/>
      <c r="W157" s="591">
        <f>SUM(R157:V157)</f>
        <v>16666</v>
      </c>
      <c r="X157" s="494">
        <v>16666</v>
      </c>
      <c r="Y157" s="490"/>
      <c r="Z157" s="490"/>
      <c r="AA157" s="490"/>
      <c r="AB157" s="490"/>
      <c r="AC157" s="591">
        <f>SUM(X157:AB157)</f>
        <v>16666</v>
      </c>
      <c r="AD157" s="494">
        <v>16666</v>
      </c>
      <c r="AE157" s="490"/>
      <c r="AF157" s="490"/>
      <c r="AG157" s="490"/>
      <c r="AH157" s="490"/>
      <c r="AI157" s="590">
        <f>SUM(AD157:AH157)</f>
        <v>16666</v>
      </c>
      <c r="AJ157" s="330"/>
    </row>
    <row r="158" spans="1:36" ht="102">
      <c r="A158" s="207"/>
      <c r="B158" s="210"/>
      <c r="C158" s="202"/>
      <c r="D158" s="196" t="s">
        <v>407</v>
      </c>
      <c r="E158" s="210" t="s">
        <v>425</v>
      </c>
      <c r="F158" s="536"/>
      <c r="G158" s="536"/>
      <c r="H158" s="206"/>
      <c r="I158" s="207"/>
      <c r="J158" s="208"/>
      <c r="K158" s="205"/>
      <c r="L158" s="205"/>
      <c r="M158" s="205"/>
      <c r="N158" s="205"/>
      <c r="O158" s="205"/>
      <c r="P158" s="205"/>
      <c r="Q158" s="536"/>
      <c r="R158" s="205"/>
      <c r="S158" s="205"/>
      <c r="T158" s="205"/>
      <c r="U158" s="205"/>
      <c r="V158" s="205"/>
      <c r="W158" s="536"/>
      <c r="X158" s="205"/>
      <c r="Y158" s="205"/>
      <c r="Z158" s="205"/>
      <c r="AA158" s="205"/>
      <c r="AB158" s="205"/>
      <c r="AC158" s="536"/>
      <c r="AD158" s="205"/>
      <c r="AE158" s="205"/>
      <c r="AF158" s="205"/>
      <c r="AG158" s="205"/>
      <c r="AH158" s="205"/>
      <c r="AI158" s="536"/>
      <c r="AJ158" s="330"/>
    </row>
    <row r="159" spans="1:36" ht="229.5">
      <c r="A159" s="207"/>
      <c r="B159" s="210"/>
      <c r="C159" s="210"/>
      <c r="D159" s="196" t="s">
        <v>407</v>
      </c>
      <c r="E159" s="210" t="s">
        <v>426</v>
      </c>
      <c r="F159" s="536"/>
      <c r="G159" s="536"/>
      <c r="H159" s="206"/>
      <c r="I159" s="207"/>
      <c r="J159" s="208"/>
      <c r="K159" s="205"/>
      <c r="L159" s="205"/>
      <c r="M159" s="205"/>
      <c r="N159" s="205"/>
      <c r="O159" s="205"/>
      <c r="P159" s="205"/>
      <c r="Q159" s="536"/>
      <c r="R159" s="205"/>
      <c r="S159" s="205"/>
      <c r="T159" s="205"/>
      <c r="U159" s="205"/>
      <c r="V159" s="205"/>
      <c r="W159" s="536"/>
      <c r="X159" s="205"/>
      <c r="Y159" s="205"/>
      <c r="Z159" s="205"/>
      <c r="AA159" s="205"/>
      <c r="AB159" s="205"/>
      <c r="AC159" s="536"/>
      <c r="AD159" s="205"/>
      <c r="AE159" s="205"/>
      <c r="AF159" s="205"/>
      <c r="AG159" s="205"/>
      <c r="AH159" s="205"/>
      <c r="AI159" s="536"/>
      <c r="AJ159" s="330"/>
    </row>
    <row r="160" spans="1:36" ht="89.25">
      <c r="A160" s="201" t="s">
        <v>683</v>
      </c>
      <c r="B160" s="210"/>
      <c r="C160" s="199"/>
      <c r="D160" s="196" t="s">
        <v>407</v>
      </c>
      <c r="E160" s="210" t="s">
        <v>427</v>
      </c>
      <c r="F160" s="536"/>
      <c r="G160" s="536"/>
      <c r="H160" s="206"/>
      <c r="I160" s="207"/>
      <c r="J160" s="208"/>
      <c r="K160" s="205"/>
      <c r="L160" s="494">
        <v>17500</v>
      </c>
      <c r="M160" s="490"/>
      <c r="N160" s="490"/>
      <c r="O160" s="490"/>
      <c r="P160" s="490"/>
      <c r="Q160" s="591">
        <f>SUM(L160:P160)</f>
        <v>17500</v>
      </c>
      <c r="R160" s="494">
        <v>17500</v>
      </c>
      <c r="S160" s="490"/>
      <c r="T160" s="490"/>
      <c r="U160" s="490"/>
      <c r="V160" s="490"/>
      <c r="W160" s="591">
        <f>SUM(R160:V160)</f>
        <v>17500</v>
      </c>
      <c r="X160" s="494">
        <v>17500</v>
      </c>
      <c r="Y160" s="490"/>
      <c r="Z160" s="490"/>
      <c r="AA160" s="490"/>
      <c r="AB160" s="490"/>
      <c r="AC160" s="591">
        <f>SUM(X160:AB160)</f>
        <v>17500</v>
      </c>
      <c r="AD160" s="494">
        <v>17500</v>
      </c>
      <c r="AE160" s="490"/>
      <c r="AF160" s="490"/>
      <c r="AG160" s="490"/>
      <c r="AH160" s="490"/>
      <c r="AI160" s="590">
        <f>SUM(AD160:AH160)</f>
        <v>17500</v>
      </c>
      <c r="AJ160" s="330"/>
    </row>
    <row r="161" spans="1:36" ht="63.75">
      <c r="A161" s="207"/>
      <c r="B161" s="210"/>
      <c r="C161" s="199"/>
      <c r="D161" s="196" t="s">
        <v>407</v>
      </c>
      <c r="E161" s="210" t="s">
        <v>428</v>
      </c>
      <c r="F161" s="536"/>
      <c r="G161" s="536"/>
      <c r="H161" s="206"/>
      <c r="I161" s="207"/>
      <c r="J161" s="208"/>
      <c r="K161" s="205"/>
      <c r="L161" s="205"/>
      <c r="M161" s="205"/>
      <c r="N161" s="205"/>
      <c r="O161" s="205"/>
      <c r="P161" s="205"/>
      <c r="Q161" s="536"/>
      <c r="R161" s="205"/>
      <c r="S161" s="205"/>
      <c r="T161" s="205"/>
      <c r="U161" s="205"/>
      <c r="V161" s="205"/>
      <c r="W161" s="536"/>
      <c r="X161" s="205"/>
      <c r="Y161" s="205"/>
      <c r="Z161" s="205"/>
      <c r="AA161" s="205"/>
      <c r="AB161" s="205"/>
      <c r="AC161" s="536"/>
      <c r="AD161" s="205"/>
      <c r="AE161" s="205"/>
      <c r="AF161" s="205"/>
      <c r="AG161" s="205"/>
      <c r="AH161" s="205"/>
      <c r="AI161" s="536"/>
      <c r="AJ161" s="330"/>
    </row>
    <row r="162" spans="1:36" ht="216.75">
      <c r="A162" s="207"/>
      <c r="B162" s="210"/>
      <c r="C162" s="199"/>
      <c r="D162" s="196" t="s">
        <v>407</v>
      </c>
      <c r="E162" s="210" t="s">
        <v>429</v>
      </c>
      <c r="F162" s="536"/>
      <c r="G162" s="536"/>
      <c r="H162" s="206"/>
      <c r="I162" s="207"/>
      <c r="J162" s="208"/>
      <c r="K162" s="205"/>
      <c r="L162" s="205"/>
      <c r="M162" s="205"/>
      <c r="N162" s="205"/>
      <c r="O162" s="205"/>
      <c r="P162" s="205"/>
      <c r="Q162" s="536"/>
      <c r="R162" s="205"/>
      <c r="S162" s="205"/>
      <c r="T162" s="205"/>
      <c r="U162" s="205"/>
      <c r="V162" s="205"/>
      <c r="W162" s="536"/>
      <c r="X162" s="205"/>
      <c r="Y162" s="205"/>
      <c r="Z162" s="205"/>
      <c r="AA162" s="205"/>
      <c r="AB162" s="205"/>
      <c r="AC162" s="536"/>
      <c r="AD162" s="205"/>
      <c r="AE162" s="205"/>
      <c r="AF162" s="205"/>
      <c r="AG162" s="205"/>
      <c r="AH162" s="205"/>
      <c r="AI162" s="536"/>
      <c r="AJ162" s="330"/>
    </row>
    <row r="163" spans="1:36" ht="140.25">
      <c r="A163" s="207"/>
      <c r="B163" s="210"/>
      <c r="C163" s="199"/>
      <c r="D163" s="196" t="s">
        <v>407</v>
      </c>
      <c r="E163" s="210" t="s">
        <v>430</v>
      </c>
      <c r="F163" s="536"/>
      <c r="G163" s="536"/>
      <c r="H163" s="206"/>
      <c r="I163" s="207"/>
      <c r="J163" s="208"/>
      <c r="K163" s="205"/>
      <c r="L163" s="205"/>
      <c r="M163" s="205"/>
      <c r="N163" s="205"/>
      <c r="O163" s="205"/>
      <c r="P163" s="205"/>
      <c r="Q163" s="536"/>
      <c r="R163" s="205"/>
      <c r="S163" s="205"/>
      <c r="T163" s="205"/>
      <c r="U163" s="205"/>
      <c r="V163" s="205"/>
      <c r="W163" s="536"/>
      <c r="X163" s="205"/>
      <c r="Y163" s="205"/>
      <c r="Z163" s="205"/>
      <c r="AA163" s="205"/>
      <c r="AB163" s="205"/>
      <c r="AC163" s="536"/>
      <c r="AD163" s="205"/>
      <c r="AE163" s="205"/>
      <c r="AF163" s="205"/>
      <c r="AG163" s="205"/>
      <c r="AH163" s="205"/>
      <c r="AI163" s="536"/>
      <c r="AJ163" s="330"/>
    </row>
    <row r="164" spans="1:36" ht="102">
      <c r="A164" s="207"/>
      <c r="B164" s="210"/>
      <c r="C164" s="199"/>
      <c r="D164" s="196" t="s">
        <v>407</v>
      </c>
      <c r="E164" s="210" t="s">
        <v>431</v>
      </c>
      <c r="F164" s="536"/>
      <c r="G164" s="536"/>
      <c r="H164" s="206"/>
      <c r="I164" s="207"/>
      <c r="J164" s="208"/>
      <c r="K164" s="205"/>
      <c r="L164" s="205"/>
      <c r="M164" s="205"/>
      <c r="N164" s="205"/>
      <c r="O164" s="205"/>
      <c r="P164" s="205"/>
      <c r="Q164" s="536"/>
      <c r="R164" s="205"/>
      <c r="S164" s="205"/>
      <c r="T164" s="205"/>
      <c r="U164" s="205"/>
      <c r="V164" s="205"/>
      <c r="W164" s="536"/>
      <c r="X164" s="205"/>
      <c r="Y164" s="205"/>
      <c r="Z164" s="205"/>
      <c r="AA164" s="205"/>
      <c r="AB164" s="205"/>
      <c r="AC164" s="536"/>
      <c r="AD164" s="205"/>
      <c r="AE164" s="205"/>
      <c r="AF164" s="205"/>
      <c r="AG164" s="205"/>
      <c r="AH164" s="205"/>
      <c r="AI164" s="536"/>
      <c r="AJ164" s="330"/>
    </row>
    <row r="165" spans="1:36" ht="127.5">
      <c r="A165" s="207"/>
      <c r="B165" s="210"/>
      <c r="C165" s="199"/>
      <c r="D165" s="196" t="s">
        <v>407</v>
      </c>
      <c r="E165" s="210" t="s">
        <v>432</v>
      </c>
      <c r="F165" s="536"/>
      <c r="G165" s="536"/>
      <c r="H165" s="206"/>
      <c r="I165" s="207"/>
      <c r="J165" s="208"/>
      <c r="K165" s="205"/>
      <c r="L165" s="205"/>
      <c r="M165" s="205"/>
      <c r="N165" s="205"/>
      <c r="O165" s="205"/>
      <c r="P165" s="205"/>
      <c r="Q165" s="536"/>
      <c r="R165" s="205"/>
      <c r="S165" s="205"/>
      <c r="T165" s="205"/>
      <c r="U165" s="205"/>
      <c r="V165" s="205"/>
      <c r="W165" s="536"/>
      <c r="X165" s="205"/>
      <c r="Y165" s="205"/>
      <c r="Z165" s="205"/>
      <c r="AA165" s="205"/>
      <c r="AB165" s="205"/>
      <c r="AC165" s="536"/>
      <c r="AD165" s="205"/>
      <c r="AE165" s="205"/>
      <c r="AF165" s="205"/>
      <c r="AG165" s="205"/>
      <c r="AH165" s="205"/>
      <c r="AI165" s="536"/>
      <c r="AJ165" s="330"/>
    </row>
    <row r="166" spans="1:36" ht="38.25">
      <c r="A166" s="207"/>
      <c r="B166" s="210"/>
      <c r="C166" s="202"/>
      <c r="D166" s="196" t="s">
        <v>407</v>
      </c>
      <c r="E166" s="210" t="s">
        <v>433</v>
      </c>
      <c r="F166" s="536"/>
      <c r="G166" s="536"/>
      <c r="H166" s="206"/>
      <c r="I166" s="207"/>
      <c r="J166" s="208"/>
      <c r="K166" s="205"/>
      <c r="L166" s="205"/>
      <c r="M166" s="205"/>
      <c r="N166" s="205"/>
      <c r="O166" s="205"/>
      <c r="P166" s="205"/>
      <c r="Q166" s="536"/>
      <c r="R166" s="205"/>
      <c r="S166" s="205"/>
      <c r="T166" s="205"/>
      <c r="U166" s="205"/>
      <c r="V166" s="205"/>
      <c r="W166" s="536"/>
      <c r="X166" s="205"/>
      <c r="Y166" s="205"/>
      <c r="Z166" s="205"/>
      <c r="AA166" s="205"/>
      <c r="AB166" s="205"/>
      <c r="AC166" s="536"/>
      <c r="AD166" s="205"/>
      <c r="AE166" s="205"/>
      <c r="AF166" s="205"/>
      <c r="AG166" s="205"/>
      <c r="AH166" s="205"/>
      <c r="AI166" s="536"/>
      <c r="AJ166" s="330"/>
    </row>
    <row r="167" spans="1:36" ht="76.5">
      <c r="A167" s="207"/>
      <c r="B167" s="210"/>
      <c r="C167" s="210"/>
      <c r="D167" s="196" t="s">
        <v>407</v>
      </c>
      <c r="E167" s="214" t="s">
        <v>434</v>
      </c>
      <c r="F167" s="536"/>
      <c r="G167" s="536"/>
      <c r="H167" s="206"/>
      <c r="I167" s="207"/>
      <c r="J167" s="208"/>
      <c r="K167" s="205"/>
      <c r="L167" s="205"/>
      <c r="M167" s="205"/>
      <c r="N167" s="205"/>
      <c r="O167" s="205"/>
      <c r="P167" s="205"/>
      <c r="Q167" s="536"/>
      <c r="R167" s="205"/>
      <c r="S167" s="205"/>
      <c r="T167" s="205"/>
      <c r="U167" s="205"/>
      <c r="V167" s="205"/>
      <c r="W167" s="536"/>
      <c r="X167" s="205"/>
      <c r="Y167" s="205"/>
      <c r="Z167" s="205"/>
      <c r="AA167" s="205"/>
      <c r="AB167" s="205"/>
      <c r="AC167" s="536"/>
      <c r="AD167" s="205"/>
      <c r="AE167" s="205"/>
      <c r="AF167" s="205"/>
      <c r="AG167" s="205"/>
      <c r="AH167" s="205"/>
      <c r="AI167" s="536"/>
      <c r="AJ167" s="330"/>
    </row>
    <row r="168" spans="1:36" ht="140.25">
      <c r="A168" s="213" t="s">
        <v>684</v>
      </c>
      <c r="B168" s="199"/>
      <c r="C168" s="199"/>
      <c r="D168" s="196" t="s">
        <v>407</v>
      </c>
      <c r="E168" s="210" t="s">
        <v>435</v>
      </c>
      <c r="F168" s="536"/>
      <c r="G168" s="536"/>
      <c r="H168" s="206"/>
      <c r="I168" s="207"/>
      <c r="J168" s="208"/>
      <c r="K168" s="205"/>
      <c r="L168" s="494">
        <v>83333</v>
      </c>
      <c r="M168" s="490"/>
      <c r="N168" s="490"/>
      <c r="O168" s="490"/>
      <c r="P168" s="490"/>
      <c r="Q168" s="591">
        <f>SUM(L168:P168)</f>
        <v>83333</v>
      </c>
      <c r="R168" s="494">
        <v>83333</v>
      </c>
      <c r="S168" s="490"/>
      <c r="T168" s="490"/>
      <c r="U168" s="490"/>
      <c r="V168" s="490"/>
      <c r="W168" s="591">
        <f>SUM(R168:V168)</f>
        <v>83333</v>
      </c>
      <c r="X168" s="494">
        <v>83333</v>
      </c>
      <c r="Y168" s="490"/>
      <c r="Z168" s="490"/>
      <c r="AA168" s="490"/>
      <c r="AB168" s="490"/>
      <c r="AC168" s="591">
        <f>SUM(X168:AB168)</f>
        <v>83333</v>
      </c>
      <c r="AD168" s="494">
        <v>83333</v>
      </c>
      <c r="AE168" s="490"/>
      <c r="AF168" s="490"/>
      <c r="AG168" s="490"/>
      <c r="AH168" s="490"/>
      <c r="AI168" s="590">
        <f>SUM(AD168:AH168)</f>
        <v>83333</v>
      </c>
      <c r="AJ168" s="330"/>
    </row>
    <row r="169" spans="1:36" ht="216.75">
      <c r="A169" s="207"/>
      <c r="B169" s="215"/>
      <c r="C169" s="202"/>
      <c r="D169" s="196" t="s">
        <v>407</v>
      </c>
      <c r="E169" s="210" t="s">
        <v>436</v>
      </c>
      <c r="F169" s="536"/>
      <c r="G169" s="536"/>
      <c r="H169" s="206"/>
      <c r="I169" s="207"/>
      <c r="J169" s="208"/>
      <c r="K169" s="205"/>
      <c r="L169" s="205"/>
      <c r="M169" s="205"/>
      <c r="N169" s="205"/>
      <c r="O169" s="205"/>
      <c r="P169" s="205"/>
      <c r="Q169" s="536"/>
      <c r="R169" s="205"/>
      <c r="S169" s="205"/>
      <c r="T169" s="205"/>
      <c r="U169" s="205"/>
      <c r="V169" s="205"/>
      <c r="W169" s="536"/>
      <c r="X169" s="205"/>
      <c r="Y169" s="205"/>
      <c r="Z169" s="205"/>
      <c r="AA169" s="205"/>
      <c r="AB169" s="205"/>
      <c r="AC169" s="536"/>
      <c r="AD169" s="205"/>
      <c r="AE169" s="205"/>
      <c r="AF169" s="205"/>
      <c r="AG169" s="205"/>
      <c r="AH169" s="205"/>
      <c r="AI169" s="536"/>
      <c r="AJ169" s="330"/>
    </row>
    <row r="170" spans="1:36" ht="165.75">
      <c r="A170" s="207"/>
      <c r="B170" s="210"/>
      <c r="C170" s="210"/>
      <c r="D170" s="196" t="s">
        <v>407</v>
      </c>
      <c r="E170" s="210" t="s">
        <v>437</v>
      </c>
      <c r="F170" s="536"/>
      <c r="G170" s="536"/>
      <c r="H170" s="206"/>
      <c r="I170" s="207"/>
      <c r="J170" s="208"/>
      <c r="K170" s="205"/>
      <c r="L170" s="205"/>
      <c r="M170" s="205"/>
      <c r="N170" s="205"/>
      <c r="O170" s="205"/>
      <c r="P170" s="205"/>
      <c r="Q170" s="536"/>
      <c r="R170" s="205"/>
      <c r="S170" s="205"/>
      <c r="T170" s="205"/>
      <c r="U170" s="205"/>
      <c r="V170" s="205"/>
      <c r="W170" s="536"/>
      <c r="X170" s="205"/>
      <c r="Y170" s="205"/>
      <c r="Z170" s="205"/>
      <c r="AA170" s="205"/>
      <c r="AB170" s="205"/>
      <c r="AC170" s="536"/>
      <c r="AD170" s="205"/>
      <c r="AE170" s="205"/>
      <c r="AF170" s="205"/>
      <c r="AG170" s="205"/>
      <c r="AH170" s="205"/>
      <c r="AI170" s="536"/>
      <c r="AJ170" s="330"/>
    </row>
    <row r="171" spans="1:36" ht="140.25">
      <c r="A171" s="207"/>
      <c r="B171" s="202"/>
      <c r="C171" s="199"/>
      <c r="D171" s="196" t="s">
        <v>407</v>
      </c>
      <c r="E171" s="210" t="s">
        <v>438</v>
      </c>
      <c r="F171" s="536"/>
      <c r="G171" s="536"/>
      <c r="H171" s="206"/>
      <c r="I171" s="207"/>
      <c r="J171" s="208"/>
      <c r="K171" s="205"/>
      <c r="L171" s="205"/>
      <c r="M171" s="205"/>
      <c r="N171" s="205"/>
      <c r="O171" s="205"/>
      <c r="P171" s="205"/>
      <c r="Q171" s="536"/>
      <c r="R171" s="205"/>
      <c r="S171" s="205"/>
      <c r="T171" s="205"/>
      <c r="U171" s="205"/>
      <c r="V171" s="205"/>
      <c r="W171" s="536"/>
      <c r="X171" s="205"/>
      <c r="Y171" s="205"/>
      <c r="Z171" s="205"/>
      <c r="AA171" s="205"/>
      <c r="AB171" s="205"/>
      <c r="AC171" s="536"/>
      <c r="AD171" s="205"/>
      <c r="AE171" s="205"/>
      <c r="AF171" s="205"/>
      <c r="AG171" s="205"/>
      <c r="AH171" s="205"/>
      <c r="AI171" s="536"/>
      <c r="AJ171" s="330"/>
    </row>
    <row r="172" spans="1:36" ht="89.25">
      <c r="A172" s="207"/>
      <c r="B172" s="212"/>
      <c r="C172" s="199"/>
      <c r="D172" s="196" t="s">
        <v>407</v>
      </c>
      <c r="E172" s="210" t="s">
        <v>439</v>
      </c>
      <c r="F172" s="536"/>
      <c r="G172" s="536"/>
      <c r="H172" s="206"/>
      <c r="I172" s="207"/>
      <c r="J172" s="208"/>
      <c r="K172" s="205"/>
      <c r="L172" s="205"/>
      <c r="M172" s="205"/>
      <c r="N172" s="205"/>
      <c r="O172" s="205"/>
      <c r="P172" s="205"/>
      <c r="Q172" s="536"/>
      <c r="R172" s="205"/>
      <c r="S172" s="205"/>
      <c r="T172" s="205"/>
      <c r="U172" s="205"/>
      <c r="V172" s="205"/>
      <c r="W172" s="536"/>
      <c r="X172" s="205"/>
      <c r="Y172" s="205"/>
      <c r="Z172" s="205"/>
      <c r="AA172" s="205"/>
      <c r="AB172" s="205"/>
      <c r="AC172" s="536"/>
      <c r="AD172" s="205"/>
      <c r="AE172" s="205"/>
      <c r="AF172" s="205"/>
      <c r="AG172" s="205"/>
      <c r="AH172" s="205"/>
      <c r="AI172" s="536"/>
      <c r="AJ172" s="330"/>
    </row>
    <row r="173" spans="1:36" ht="204">
      <c r="A173" s="207"/>
      <c r="B173" s="212"/>
      <c r="C173" s="199"/>
      <c r="D173" s="196" t="s">
        <v>407</v>
      </c>
      <c r="E173" s="210" t="s">
        <v>440</v>
      </c>
      <c r="F173" s="536"/>
      <c r="G173" s="536"/>
      <c r="H173" s="206"/>
      <c r="I173" s="207"/>
      <c r="J173" s="208"/>
      <c r="K173" s="205"/>
      <c r="L173" s="205"/>
      <c r="M173" s="205"/>
      <c r="N173" s="205"/>
      <c r="O173" s="205"/>
      <c r="P173" s="205"/>
      <c r="Q173" s="536"/>
      <c r="R173" s="205"/>
      <c r="S173" s="205"/>
      <c r="T173" s="205"/>
      <c r="U173" s="205"/>
      <c r="V173" s="205"/>
      <c r="W173" s="536"/>
      <c r="X173" s="205"/>
      <c r="Y173" s="205"/>
      <c r="Z173" s="205"/>
      <c r="AA173" s="205"/>
      <c r="AB173" s="205"/>
      <c r="AC173" s="536"/>
      <c r="AD173" s="205"/>
      <c r="AE173" s="205"/>
      <c r="AF173" s="205"/>
      <c r="AG173" s="205"/>
      <c r="AH173" s="205"/>
      <c r="AI173" s="536"/>
      <c r="AJ173" s="330"/>
    </row>
    <row r="174" spans="1:36" ht="76.5">
      <c r="A174" s="207"/>
      <c r="B174" s="210"/>
      <c r="C174" s="210"/>
      <c r="D174" s="196" t="s">
        <v>407</v>
      </c>
      <c r="E174" s="210" t="s">
        <v>441</v>
      </c>
      <c r="F174" s="536"/>
      <c r="G174" s="536"/>
      <c r="H174" s="206"/>
      <c r="I174" s="207"/>
      <c r="J174" s="208"/>
      <c r="K174" s="205"/>
      <c r="L174" s="205"/>
      <c r="M174" s="205"/>
      <c r="N174" s="205"/>
      <c r="O174" s="205"/>
      <c r="P174" s="205"/>
      <c r="Q174" s="536"/>
      <c r="R174" s="205"/>
      <c r="S174" s="205"/>
      <c r="T174" s="205"/>
      <c r="U174" s="205"/>
      <c r="V174" s="205"/>
      <c r="W174" s="536"/>
      <c r="X174" s="205"/>
      <c r="Y174" s="205"/>
      <c r="Z174" s="205"/>
      <c r="AA174" s="205"/>
      <c r="AB174" s="205"/>
      <c r="AC174" s="536"/>
      <c r="AD174" s="205"/>
      <c r="AE174" s="205"/>
      <c r="AF174" s="205"/>
      <c r="AG174" s="205"/>
      <c r="AH174" s="205"/>
      <c r="AI174" s="536"/>
      <c r="AJ174" s="330"/>
    </row>
    <row r="175" spans="1:36" ht="89.25">
      <c r="A175" s="201" t="s">
        <v>685</v>
      </c>
      <c r="B175" s="199"/>
      <c r="C175" s="199"/>
      <c r="D175" s="196" t="s">
        <v>407</v>
      </c>
      <c r="E175" s="210" t="s">
        <v>442</v>
      </c>
      <c r="F175" s="536"/>
      <c r="G175" s="536"/>
      <c r="H175" s="206"/>
      <c r="I175" s="207"/>
      <c r="J175" s="208"/>
      <c r="K175" s="205"/>
      <c r="L175" s="492">
        <v>6666</v>
      </c>
      <c r="M175" s="490"/>
      <c r="N175" s="490"/>
      <c r="O175" s="490"/>
      <c r="P175" s="490"/>
      <c r="Q175" s="591">
        <f>SUM(L175:P175)</f>
        <v>6666</v>
      </c>
      <c r="R175" s="492">
        <v>6666</v>
      </c>
      <c r="S175" s="490"/>
      <c r="T175" s="490"/>
      <c r="U175" s="490"/>
      <c r="V175" s="490"/>
      <c r="W175" s="591">
        <f>SUM(R175:V175)</f>
        <v>6666</v>
      </c>
      <c r="X175" s="492">
        <v>6666</v>
      </c>
      <c r="Y175" s="490"/>
      <c r="Z175" s="490"/>
      <c r="AA175" s="490"/>
      <c r="AB175" s="490"/>
      <c r="AC175" s="591">
        <f>SUM(X175:AB175)</f>
        <v>6666</v>
      </c>
      <c r="AD175" s="492">
        <v>6666</v>
      </c>
      <c r="AE175" s="490"/>
      <c r="AF175" s="490"/>
      <c r="AG175" s="490"/>
      <c r="AH175" s="490"/>
      <c r="AI175" s="590">
        <f>SUM(AD175:AH175)</f>
        <v>6666</v>
      </c>
      <c r="AJ175" s="330"/>
    </row>
    <row r="176" spans="1:36" ht="89.25">
      <c r="A176" s="201"/>
      <c r="B176" s="203"/>
      <c r="C176" s="199"/>
      <c r="D176" s="196" t="s">
        <v>407</v>
      </c>
      <c r="E176" s="210" t="s">
        <v>443</v>
      </c>
      <c r="F176" s="536"/>
      <c r="G176" s="536"/>
      <c r="H176" s="206"/>
      <c r="I176" s="207"/>
      <c r="J176" s="208"/>
      <c r="K176" s="205"/>
      <c r="L176" s="205"/>
      <c r="M176" s="205"/>
      <c r="N176" s="205"/>
      <c r="O176" s="205"/>
      <c r="P176" s="205"/>
      <c r="Q176" s="536"/>
      <c r="R176" s="205"/>
      <c r="S176" s="205"/>
      <c r="T176" s="205"/>
      <c r="U176" s="205"/>
      <c r="V176" s="205"/>
      <c r="W176" s="536"/>
      <c r="X176" s="205"/>
      <c r="Y176" s="205"/>
      <c r="Z176" s="205"/>
      <c r="AA176" s="205"/>
      <c r="AB176" s="205"/>
      <c r="AC176" s="536"/>
      <c r="AD176" s="205"/>
      <c r="AE176" s="205"/>
      <c r="AF176" s="205"/>
      <c r="AG176" s="205"/>
      <c r="AH176" s="205"/>
      <c r="AI176" s="536"/>
      <c r="AJ176" s="330"/>
    </row>
    <row r="177" spans="1:36" ht="255">
      <c r="A177" s="207"/>
      <c r="B177" s="200"/>
      <c r="C177" s="199"/>
      <c r="D177" s="196" t="s">
        <v>407</v>
      </c>
      <c r="E177" s="210" t="s">
        <v>569</v>
      </c>
      <c r="F177" s="536"/>
      <c r="G177" s="536"/>
      <c r="H177" s="206"/>
      <c r="I177" s="207"/>
      <c r="J177" s="208"/>
      <c r="K177" s="205"/>
      <c r="L177" s="205"/>
      <c r="M177" s="205"/>
      <c r="N177" s="205"/>
      <c r="O177" s="205"/>
      <c r="P177" s="205"/>
      <c r="Q177" s="536"/>
      <c r="R177" s="205"/>
      <c r="S177" s="205"/>
      <c r="T177" s="205"/>
      <c r="U177" s="205"/>
      <c r="V177" s="205"/>
      <c r="W177" s="536"/>
      <c r="X177" s="205"/>
      <c r="Y177" s="205"/>
      <c r="Z177" s="205"/>
      <c r="AA177" s="205"/>
      <c r="AB177" s="205"/>
      <c r="AC177" s="536"/>
      <c r="AD177" s="205"/>
      <c r="AE177" s="205"/>
      <c r="AF177" s="205"/>
      <c r="AG177" s="205"/>
      <c r="AH177" s="205"/>
      <c r="AI177" s="536"/>
      <c r="AJ177" s="330"/>
    </row>
    <row r="178" spans="1:36" ht="153">
      <c r="A178" s="207"/>
      <c r="B178" s="216"/>
      <c r="C178" s="210"/>
      <c r="D178" s="196" t="s">
        <v>407</v>
      </c>
      <c r="E178" s="210" t="s">
        <v>444</v>
      </c>
      <c r="F178" s="536"/>
      <c r="G178" s="536"/>
      <c r="H178" s="206"/>
      <c r="I178" s="207"/>
      <c r="J178" s="208"/>
      <c r="K178" s="205"/>
      <c r="L178" s="205"/>
      <c r="M178" s="205"/>
      <c r="N178" s="205"/>
      <c r="O178" s="205"/>
      <c r="P178" s="205"/>
      <c r="Q178" s="536"/>
      <c r="R178" s="205"/>
      <c r="S178" s="205"/>
      <c r="T178" s="205"/>
      <c r="U178" s="205"/>
      <c r="V178" s="205"/>
      <c r="W178" s="536"/>
      <c r="X178" s="205"/>
      <c r="Y178" s="205"/>
      <c r="Z178" s="205"/>
      <c r="AA178" s="205"/>
      <c r="AB178" s="205"/>
      <c r="AC178" s="536"/>
      <c r="AD178" s="205"/>
      <c r="AE178" s="205"/>
      <c r="AF178" s="205"/>
      <c r="AG178" s="205"/>
      <c r="AH178" s="205"/>
      <c r="AI178" s="536"/>
      <c r="AJ178" s="330"/>
    </row>
    <row r="179" spans="1:36" ht="102">
      <c r="A179" s="201" t="s">
        <v>686</v>
      </c>
      <c r="B179" s="202"/>
      <c r="C179" s="199"/>
      <c r="D179" s="196" t="s">
        <v>407</v>
      </c>
      <c r="E179" s="210" t="s">
        <v>445</v>
      </c>
      <c r="F179" s="536"/>
      <c r="G179" s="536"/>
      <c r="H179" s="206"/>
      <c r="I179" s="207"/>
      <c r="J179" s="208"/>
      <c r="K179" s="205"/>
      <c r="L179" s="492">
        <v>6666</v>
      </c>
      <c r="M179" s="490"/>
      <c r="N179" s="490"/>
      <c r="O179" s="490"/>
      <c r="P179" s="490"/>
      <c r="Q179" s="591">
        <f>SUM(L179:P179)</f>
        <v>6666</v>
      </c>
      <c r="R179" s="492">
        <v>6666</v>
      </c>
      <c r="S179" s="490"/>
      <c r="T179" s="490"/>
      <c r="U179" s="490"/>
      <c r="V179" s="490"/>
      <c r="W179" s="591">
        <f>SUM(R179:V179)</f>
        <v>6666</v>
      </c>
      <c r="X179" s="492">
        <v>6666</v>
      </c>
      <c r="Y179" s="490"/>
      <c r="Z179" s="490"/>
      <c r="AA179" s="490"/>
      <c r="AB179" s="490"/>
      <c r="AC179" s="591">
        <f>SUM(X179:AB179)</f>
        <v>6666</v>
      </c>
      <c r="AD179" s="492">
        <v>6666</v>
      </c>
      <c r="AE179" s="490"/>
      <c r="AF179" s="490"/>
      <c r="AG179" s="490"/>
      <c r="AH179" s="490"/>
      <c r="AI179" s="590">
        <f>SUM(AD179:AH179)</f>
        <v>6666</v>
      </c>
      <c r="AJ179" s="330"/>
    </row>
    <row r="180" spans="1:36" ht="140.25">
      <c r="A180" s="207"/>
      <c r="B180" s="212"/>
      <c r="C180" s="199"/>
      <c r="D180" s="196" t="s">
        <v>407</v>
      </c>
      <c r="E180" s="210" t="s">
        <v>446</v>
      </c>
      <c r="F180" s="536"/>
      <c r="G180" s="536"/>
      <c r="H180" s="206"/>
      <c r="I180" s="207"/>
      <c r="J180" s="208"/>
      <c r="K180" s="205"/>
      <c r="L180" s="205"/>
      <c r="M180" s="205"/>
      <c r="N180" s="205"/>
      <c r="O180" s="205"/>
      <c r="P180" s="205"/>
      <c r="Q180" s="536"/>
      <c r="R180" s="205"/>
      <c r="S180" s="205"/>
      <c r="T180" s="205"/>
      <c r="U180" s="205"/>
      <c r="V180" s="205"/>
      <c r="W180" s="536"/>
      <c r="X180" s="205"/>
      <c r="Y180" s="205"/>
      <c r="Z180" s="205"/>
      <c r="AA180" s="205"/>
      <c r="AB180" s="205"/>
      <c r="AC180" s="536"/>
      <c r="AD180" s="205"/>
      <c r="AE180" s="205"/>
      <c r="AF180" s="205"/>
      <c r="AG180" s="205"/>
      <c r="AH180" s="205"/>
      <c r="AI180" s="536"/>
      <c r="AJ180" s="330"/>
    </row>
    <row r="181" spans="1:36" ht="229.5">
      <c r="A181" s="217"/>
      <c r="B181" s="218"/>
      <c r="C181" s="199"/>
      <c r="D181" s="196" t="s">
        <v>407</v>
      </c>
      <c r="E181" s="210" t="s">
        <v>447</v>
      </c>
      <c r="F181" s="536"/>
      <c r="G181" s="536"/>
      <c r="H181" s="206"/>
      <c r="I181" s="207"/>
      <c r="J181" s="208"/>
      <c r="K181" s="205"/>
      <c r="L181" s="205"/>
      <c r="M181" s="205"/>
      <c r="N181" s="205"/>
      <c r="O181" s="205"/>
      <c r="P181" s="205"/>
      <c r="Q181" s="536"/>
      <c r="R181" s="205"/>
      <c r="S181" s="205"/>
      <c r="T181" s="205"/>
      <c r="U181" s="205"/>
      <c r="V181" s="205"/>
      <c r="W181" s="590">
        <f>SUM(R181:V181)</f>
        <v>0</v>
      </c>
      <c r="X181" s="205"/>
      <c r="Y181" s="205"/>
      <c r="Z181" s="205"/>
      <c r="AA181" s="205"/>
      <c r="AB181" s="205"/>
      <c r="AC181" s="536"/>
      <c r="AD181" s="205"/>
      <c r="AE181" s="205"/>
      <c r="AF181" s="205"/>
      <c r="AG181" s="205"/>
      <c r="AH181" s="205"/>
      <c r="AI181" s="536"/>
      <c r="AJ181" s="330"/>
    </row>
    <row r="182" spans="1:36" ht="140.25">
      <c r="A182" s="219"/>
      <c r="B182" s="199"/>
      <c r="C182" s="199"/>
      <c r="D182" s="196" t="s">
        <v>407</v>
      </c>
      <c r="E182" s="210" t="s">
        <v>448</v>
      </c>
      <c r="F182" s="536"/>
      <c r="G182" s="536"/>
      <c r="H182" s="206"/>
      <c r="I182" s="207"/>
      <c r="J182" s="208"/>
      <c r="K182" s="205"/>
      <c r="L182" s="494">
        <v>389166</v>
      </c>
      <c r="M182" s="490"/>
      <c r="N182" s="490"/>
      <c r="O182" s="490"/>
      <c r="P182" s="490"/>
      <c r="Q182" s="591">
        <f>SUM(L182:P182)</f>
        <v>389166</v>
      </c>
      <c r="R182" s="495">
        <v>389166</v>
      </c>
      <c r="S182" s="496"/>
      <c r="T182" s="496"/>
      <c r="U182" s="496"/>
      <c r="V182" s="496"/>
      <c r="W182" s="591">
        <f>SUM(R182:V182)</f>
        <v>389166</v>
      </c>
      <c r="X182" s="494">
        <v>389166</v>
      </c>
      <c r="Y182" s="490"/>
      <c r="Z182" s="490"/>
      <c r="AA182" s="490"/>
      <c r="AB182" s="490"/>
      <c r="AC182" s="591">
        <f>SUM(X182:AB182)</f>
        <v>389166</v>
      </c>
      <c r="AD182" s="494">
        <v>389166</v>
      </c>
      <c r="AE182" s="490"/>
      <c r="AF182" s="490"/>
      <c r="AG182" s="490"/>
      <c r="AH182" s="490"/>
      <c r="AI182" s="590">
        <f>SUM(AD182:AH182)</f>
        <v>389166</v>
      </c>
      <c r="AJ182" s="330"/>
    </row>
    <row r="183" spans="1:36" ht="114.75">
      <c r="A183" s="213" t="s">
        <v>687</v>
      </c>
      <c r="B183" s="202"/>
      <c r="C183" s="199"/>
      <c r="D183" s="196" t="s">
        <v>407</v>
      </c>
      <c r="E183" s="210" t="s">
        <v>449</v>
      </c>
      <c r="F183" s="537"/>
      <c r="G183" s="537"/>
      <c r="H183" s="221"/>
      <c r="I183" s="217"/>
      <c r="J183" s="222"/>
      <c r="K183" s="220"/>
      <c r="L183" s="220"/>
      <c r="M183" s="220"/>
      <c r="N183" s="220"/>
      <c r="O183" s="220"/>
      <c r="P183" s="220"/>
      <c r="Q183" s="537"/>
      <c r="R183" s="220"/>
      <c r="S183" s="220"/>
      <c r="T183" s="220"/>
      <c r="U183" s="220"/>
      <c r="V183" s="220"/>
      <c r="W183" s="537"/>
      <c r="X183" s="220"/>
      <c r="Y183" s="220"/>
      <c r="Z183" s="220"/>
      <c r="AA183" s="220"/>
      <c r="AB183" s="220"/>
      <c r="AC183" s="537"/>
      <c r="AD183" s="205"/>
      <c r="AE183" s="205"/>
      <c r="AF183" s="205"/>
      <c r="AG183" s="205"/>
      <c r="AH183" s="205"/>
      <c r="AI183" s="536"/>
      <c r="AJ183" s="330"/>
    </row>
    <row r="184" spans="1:36" ht="51">
      <c r="A184" s="223"/>
      <c r="B184" s="224"/>
      <c r="C184" s="225"/>
      <c r="D184" s="196" t="s">
        <v>407</v>
      </c>
      <c r="E184" s="210" t="s">
        <v>450</v>
      </c>
      <c r="F184" s="537"/>
      <c r="G184" s="537"/>
      <c r="H184" s="220"/>
      <c r="I184" s="220"/>
      <c r="J184" s="220"/>
      <c r="K184" s="220"/>
      <c r="L184" s="220"/>
      <c r="M184" s="220"/>
      <c r="N184" s="220"/>
      <c r="O184" s="220"/>
      <c r="P184" s="220"/>
      <c r="Q184" s="537"/>
      <c r="R184" s="220"/>
      <c r="S184" s="220"/>
      <c r="T184" s="220"/>
      <c r="U184" s="220"/>
      <c r="V184" s="220"/>
      <c r="W184" s="537"/>
      <c r="X184" s="220"/>
      <c r="Y184" s="220"/>
      <c r="Z184" s="220"/>
      <c r="AA184" s="220"/>
      <c r="AB184" s="220"/>
      <c r="AC184" s="537"/>
      <c r="AD184" s="220"/>
      <c r="AE184" s="220"/>
      <c r="AF184" s="220"/>
      <c r="AG184" s="220"/>
      <c r="AH184" s="220"/>
      <c r="AI184" s="537"/>
      <c r="AJ184" s="330"/>
    </row>
    <row r="185" spans="1:36" ht="204.75" thickBot="1">
      <c r="A185" s="226"/>
      <c r="B185" s="197"/>
      <c r="C185" s="197"/>
      <c r="D185" s="196" t="s">
        <v>407</v>
      </c>
      <c r="E185" s="227" t="s">
        <v>451</v>
      </c>
      <c r="F185" s="538"/>
      <c r="G185" s="538"/>
      <c r="H185" s="197"/>
      <c r="I185" s="197"/>
      <c r="J185" s="197"/>
      <c r="K185" s="197"/>
      <c r="L185" s="228"/>
      <c r="M185" s="228"/>
      <c r="N185" s="228"/>
      <c r="O185" s="228"/>
      <c r="P185" s="228"/>
      <c r="Q185" s="593"/>
      <c r="R185" s="228"/>
      <c r="S185" s="228"/>
      <c r="T185" s="228"/>
      <c r="U185" s="228"/>
      <c r="V185" s="228"/>
      <c r="W185" s="593"/>
      <c r="X185" s="228"/>
      <c r="Y185" s="228"/>
      <c r="Z185" s="228"/>
      <c r="AA185" s="228"/>
      <c r="AB185" s="228"/>
      <c r="AC185" s="593"/>
      <c r="AD185" s="228"/>
      <c r="AE185" s="228"/>
      <c r="AF185" s="228"/>
      <c r="AG185" s="228"/>
      <c r="AH185" s="228"/>
      <c r="AI185" s="593"/>
      <c r="AJ185" s="330"/>
    </row>
    <row r="186" spans="1:36">
      <c r="A186" s="26" t="s">
        <v>276</v>
      </c>
      <c r="B186" s="26"/>
      <c r="C186" s="26"/>
      <c r="D186" s="168"/>
      <c r="E186" s="168"/>
      <c r="F186" s="539"/>
      <c r="G186" s="534"/>
      <c r="H186" s="169"/>
      <c r="I186" s="169"/>
      <c r="J186" s="169"/>
      <c r="K186" s="172"/>
      <c r="L186" s="102"/>
      <c r="M186" s="102"/>
      <c r="N186" s="102"/>
      <c r="O186" s="102"/>
      <c r="P186" s="102"/>
      <c r="Q186" s="594">
        <v>583295</v>
      </c>
      <c r="R186" s="102"/>
      <c r="S186" s="102"/>
      <c r="T186" s="102"/>
      <c r="U186" s="102"/>
      <c r="V186" s="102"/>
      <c r="W186" s="594">
        <v>583295</v>
      </c>
      <c r="X186" s="102"/>
      <c r="Y186" s="102"/>
      <c r="Z186" s="102"/>
      <c r="AA186" s="102"/>
      <c r="AB186" s="102"/>
      <c r="AC186" s="594">
        <v>583295</v>
      </c>
      <c r="AD186" s="102"/>
      <c r="AE186" s="102"/>
      <c r="AF186" s="102"/>
      <c r="AG186" s="102"/>
      <c r="AH186" s="102"/>
      <c r="AI186" s="657">
        <v>583295</v>
      </c>
      <c r="AJ186" s="337">
        <v>2333180</v>
      </c>
    </row>
    <row r="187" spans="1:36">
      <c r="A187" s="103"/>
      <c r="B187" s="103"/>
      <c r="C187" s="103"/>
      <c r="D187" s="415"/>
      <c r="E187" s="415"/>
      <c r="F187" s="540"/>
      <c r="G187" s="535"/>
      <c r="H187" s="416"/>
      <c r="I187" s="416"/>
      <c r="J187" s="416"/>
      <c r="K187" s="295"/>
      <c r="L187" s="423">
        <f>SUM(L141:L185)</f>
        <v>583328</v>
      </c>
      <c r="M187" s="423">
        <f t="shared" ref="M187:AI187" si="11">SUM(M141:M185)</f>
        <v>0</v>
      </c>
      <c r="N187" s="423">
        <f t="shared" si="11"/>
        <v>0</v>
      </c>
      <c r="O187" s="423">
        <f t="shared" si="11"/>
        <v>0</v>
      </c>
      <c r="P187" s="423">
        <f t="shared" si="11"/>
        <v>0</v>
      </c>
      <c r="Q187" s="595">
        <f>SUM(Q141:Q185)</f>
        <v>583328</v>
      </c>
      <c r="R187" s="423">
        <f>SUM(R141:R185)</f>
        <v>583328</v>
      </c>
      <c r="S187" s="423">
        <f t="shared" si="11"/>
        <v>0</v>
      </c>
      <c r="T187" s="423">
        <f t="shared" si="11"/>
        <v>0</v>
      </c>
      <c r="U187" s="423">
        <f t="shared" si="11"/>
        <v>0</v>
      </c>
      <c r="V187" s="423">
        <f t="shared" si="11"/>
        <v>0</v>
      </c>
      <c r="W187" s="595">
        <f t="shared" si="11"/>
        <v>583328</v>
      </c>
      <c r="X187" s="423">
        <f>SUM(X141:X185)</f>
        <v>583328</v>
      </c>
      <c r="Y187" s="423">
        <f t="shared" si="11"/>
        <v>0</v>
      </c>
      <c r="Z187" s="423">
        <f t="shared" si="11"/>
        <v>0</v>
      </c>
      <c r="AA187" s="423">
        <f t="shared" si="11"/>
        <v>0</v>
      </c>
      <c r="AB187" s="423">
        <f t="shared" si="11"/>
        <v>0</v>
      </c>
      <c r="AC187" s="595">
        <f t="shared" si="11"/>
        <v>583328</v>
      </c>
      <c r="AD187" s="423">
        <f>SUM(AD141:AD185)</f>
        <v>583328</v>
      </c>
      <c r="AE187" s="423">
        <f t="shared" si="11"/>
        <v>0</v>
      </c>
      <c r="AF187" s="423">
        <f t="shared" si="11"/>
        <v>0</v>
      </c>
      <c r="AG187" s="423">
        <f t="shared" si="11"/>
        <v>0</v>
      </c>
      <c r="AH187" s="423">
        <f t="shared" si="11"/>
        <v>0</v>
      </c>
      <c r="AI187" s="595">
        <f t="shared" si="11"/>
        <v>583328</v>
      </c>
      <c r="AJ187" s="424">
        <f>SUM(AI187+AC187+W187+Q187)</f>
        <v>2333312</v>
      </c>
    </row>
    <row r="188" spans="1:36">
      <c r="A188" s="137"/>
      <c r="B188" s="137"/>
      <c r="C188" s="137"/>
      <c r="D188" s="137"/>
      <c r="E188" s="137"/>
      <c r="F188" s="517"/>
      <c r="G188" s="517"/>
      <c r="H188" s="137"/>
      <c r="I188" s="137"/>
      <c r="J188" s="137"/>
      <c r="K188" s="137"/>
      <c r="L188" s="137"/>
      <c r="M188" s="137"/>
      <c r="N188" s="137"/>
      <c r="O188" s="137"/>
      <c r="P188" s="137"/>
      <c r="Q188" s="517"/>
      <c r="R188" s="137"/>
      <c r="S188" s="137"/>
      <c r="T188" s="137"/>
      <c r="U188" s="137"/>
      <c r="V188" s="137"/>
      <c r="W188" s="517"/>
      <c r="X188" s="137"/>
      <c r="Y188" s="137"/>
      <c r="Z188" s="137"/>
      <c r="AA188" s="137"/>
      <c r="AB188" s="137"/>
      <c r="AC188" s="517"/>
      <c r="AD188" s="137"/>
      <c r="AE188" s="137"/>
      <c r="AF188" s="137"/>
      <c r="AG188" s="137"/>
      <c r="AH188" s="137"/>
    </row>
    <row r="189" spans="1:36">
      <c r="A189" s="138" t="s">
        <v>399</v>
      </c>
      <c r="B189" s="137"/>
      <c r="C189" s="137"/>
      <c r="D189" s="137"/>
      <c r="E189" s="137"/>
      <c r="F189" s="517"/>
      <c r="G189" s="517"/>
      <c r="H189" s="137"/>
      <c r="I189" s="137"/>
      <c r="J189" s="137"/>
      <c r="K189" s="137"/>
      <c r="L189" s="137"/>
      <c r="M189" s="137"/>
      <c r="N189" s="137"/>
      <c r="O189" s="137"/>
      <c r="P189" s="137"/>
      <c r="Q189" s="517"/>
      <c r="R189" s="137"/>
      <c r="S189" s="137"/>
      <c r="T189" s="137"/>
      <c r="U189" s="137"/>
      <c r="V189" s="137"/>
      <c r="W189" s="517"/>
      <c r="X189" s="137"/>
      <c r="Y189" s="137"/>
      <c r="Z189" s="137"/>
      <c r="AA189" s="137"/>
      <c r="AB189" s="137"/>
      <c r="AC189" s="517"/>
      <c r="AD189" s="137"/>
      <c r="AE189" s="137"/>
      <c r="AF189" s="137"/>
      <c r="AG189" s="137"/>
      <c r="AH189" s="137"/>
    </row>
    <row r="190" spans="1:36">
      <c r="A190" s="137"/>
      <c r="B190" s="137"/>
      <c r="C190" s="137"/>
      <c r="D190" s="137"/>
      <c r="E190" s="137"/>
      <c r="F190" s="517"/>
      <c r="G190" s="517"/>
      <c r="H190" s="137"/>
      <c r="I190" s="137"/>
      <c r="J190" s="137"/>
      <c r="K190" s="137"/>
      <c r="L190" s="137"/>
      <c r="M190" s="137"/>
      <c r="N190" s="137"/>
      <c r="O190" s="137"/>
      <c r="P190" s="137"/>
      <c r="Q190" s="517"/>
      <c r="R190" s="137"/>
      <c r="S190" s="137"/>
      <c r="T190" s="137"/>
      <c r="U190" s="137"/>
      <c r="V190" s="137"/>
      <c r="W190" s="517"/>
      <c r="X190" s="137"/>
      <c r="Y190" s="137"/>
      <c r="Z190" s="137"/>
      <c r="AA190" s="137"/>
      <c r="AB190" s="137"/>
      <c r="AC190" s="517"/>
      <c r="AD190" s="137"/>
      <c r="AE190" s="137"/>
      <c r="AF190" s="137"/>
      <c r="AG190" s="137"/>
      <c r="AH190" s="137"/>
    </row>
    <row r="191" spans="1:36" ht="15" customHeight="1">
      <c r="A191" s="479"/>
      <c r="B191" s="468"/>
      <c r="C191" s="468"/>
      <c r="D191" s="1100" t="s">
        <v>0</v>
      </c>
      <c r="E191" s="1100" t="s">
        <v>340</v>
      </c>
      <c r="F191" s="1191" t="s">
        <v>5</v>
      </c>
      <c r="G191" s="1191"/>
      <c r="H191" s="1084" t="s">
        <v>22</v>
      </c>
      <c r="I191" s="1084" t="s">
        <v>211</v>
      </c>
      <c r="J191" s="1084" t="s">
        <v>212</v>
      </c>
      <c r="K191" s="1084" t="s">
        <v>213</v>
      </c>
      <c r="L191" s="1072" t="s">
        <v>214</v>
      </c>
      <c r="M191" s="1072"/>
      <c r="N191" s="1072"/>
      <c r="O191" s="1072"/>
      <c r="P191" s="1072"/>
      <c r="Q191" s="1072"/>
      <c r="R191" s="1072"/>
      <c r="S191" s="1072"/>
      <c r="T191" s="1072"/>
      <c r="U191" s="1072"/>
      <c r="V191" s="1072"/>
      <c r="W191" s="1072"/>
      <c r="X191" s="1072"/>
      <c r="Y191" s="1072"/>
      <c r="Z191" s="1072"/>
      <c r="AA191" s="1072"/>
      <c r="AB191" s="1072"/>
      <c r="AC191" s="1072"/>
      <c r="AD191" s="1072"/>
      <c r="AE191" s="1072"/>
      <c r="AF191" s="1072"/>
      <c r="AG191" s="1072"/>
      <c r="AH191" s="1072"/>
      <c r="AI191" s="658"/>
      <c r="AJ191" s="331"/>
    </row>
    <row r="192" spans="1:36" ht="38.25">
      <c r="A192" s="1103" t="s">
        <v>341</v>
      </c>
      <c r="B192" s="468" t="s">
        <v>215</v>
      </c>
      <c r="C192" s="468" t="s">
        <v>279</v>
      </c>
      <c r="D192" s="1100"/>
      <c r="E192" s="1106"/>
      <c r="F192" s="1190" t="s">
        <v>217</v>
      </c>
      <c r="G192" s="1190" t="s">
        <v>6</v>
      </c>
      <c r="H192" s="1085"/>
      <c r="I192" s="1085"/>
      <c r="J192" s="1085"/>
      <c r="K192" s="1085"/>
      <c r="L192" s="1071" t="s">
        <v>12</v>
      </c>
      <c r="M192" s="1072"/>
      <c r="N192" s="1072"/>
      <c r="O192" s="1072"/>
      <c r="P192" s="1072"/>
      <c r="Q192" s="1072"/>
      <c r="R192" s="1071" t="s">
        <v>13</v>
      </c>
      <c r="S192" s="1072"/>
      <c r="T192" s="1072"/>
      <c r="U192" s="1072"/>
      <c r="V192" s="1072"/>
      <c r="W192" s="1072"/>
      <c r="X192" s="1071" t="s">
        <v>14</v>
      </c>
      <c r="Y192" s="1072"/>
      <c r="Z192" s="1072"/>
      <c r="AA192" s="1072"/>
      <c r="AB192" s="1072"/>
      <c r="AC192" s="1072"/>
      <c r="AD192" s="1071" t="s">
        <v>15</v>
      </c>
      <c r="AE192" s="1072"/>
      <c r="AF192" s="1072"/>
      <c r="AG192" s="1072"/>
      <c r="AH192" s="1072"/>
      <c r="AI192" s="659"/>
      <c r="AJ192" s="330"/>
    </row>
    <row r="193" spans="1:36" ht="30">
      <c r="A193" s="1104"/>
      <c r="B193" s="468"/>
      <c r="C193" s="468"/>
      <c r="D193" s="1100"/>
      <c r="E193" s="1106"/>
      <c r="F193" s="1190"/>
      <c r="G193" s="1190"/>
      <c r="H193" s="1086"/>
      <c r="I193" s="1086"/>
      <c r="J193" s="1086"/>
      <c r="K193" s="1086"/>
      <c r="L193" s="467" t="s">
        <v>1</v>
      </c>
      <c r="M193" s="467" t="s">
        <v>9</v>
      </c>
      <c r="N193" s="467" t="s">
        <v>218</v>
      </c>
      <c r="O193" s="140" t="s">
        <v>17</v>
      </c>
      <c r="P193" s="140" t="s">
        <v>19</v>
      </c>
      <c r="Q193" s="585" t="s">
        <v>4</v>
      </c>
      <c r="R193" s="467" t="s">
        <v>1</v>
      </c>
      <c r="S193" s="467" t="s">
        <v>2</v>
      </c>
      <c r="T193" s="467" t="s">
        <v>219</v>
      </c>
      <c r="U193" s="467" t="s">
        <v>17</v>
      </c>
      <c r="V193" s="467" t="s">
        <v>19</v>
      </c>
      <c r="W193" s="637" t="s">
        <v>4</v>
      </c>
      <c r="X193" s="467" t="s">
        <v>1</v>
      </c>
      <c r="Y193" s="467" t="s">
        <v>9</v>
      </c>
      <c r="Z193" s="467" t="s">
        <v>218</v>
      </c>
      <c r="AA193" s="140" t="s">
        <v>17</v>
      </c>
      <c r="AB193" s="140" t="s">
        <v>19</v>
      </c>
      <c r="AC193" s="585" t="s">
        <v>4</v>
      </c>
      <c r="AD193" s="467" t="s">
        <v>1</v>
      </c>
      <c r="AE193" s="467" t="s">
        <v>9</v>
      </c>
      <c r="AF193" s="467" t="s">
        <v>219</v>
      </c>
      <c r="AG193" s="140" t="s">
        <v>17</v>
      </c>
      <c r="AH193" s="140" t="s">
        <v>19</v>
      </c>
      <c r="AI193" s="660" t="s">
        <v>688</v>
      </c>
      <c r="AJ193" s="351" t="s">
        <v>689</v>
      </c>
    </row>
    <row r="194" spans="1:36">
      <c r="A194" s="141" t="s">
        <v>33</v>
      </c>
      <c r="B194" s="141" t="s">
        <v>34</v>
      </c>
      <c r="C194" s="141" t="s">
        <v>45</v>
      </c>
      <c r="D194" s="141" t="s">
        <v>35</v>
      </c>
      <c r="E194" s="141" t="s">
        <v>36</v>
      </c>
      <c r="F194" s="515" t="s">
        <v>37</v>
      </c>
      <c r="G194" s="515" t="s">
        <v>38</v>
      </c>
      <c r="H194" s="229" t="s">
        <v>39</v>
      </c>
      <c r="I194" s="141" t="s">
        <v>40</v>
      </c>
      <c r="J194" s="143" t="s">
        <v>41</v>
      </c>
      <c r="K194" s="141"/>
      <c r="L194" s="141"/>
      <c r="M194" s="141"/>
      <c r="N194" s="141"/>
      <c r="O194" s="141"/>
      <c r="P194" s="141"/>
      <c r="Q194" s="515"/>
      <c r="R194" s="141"/>
      <c r="S194" s="141"/>
      <c r="T194" s="141"/>
      <c r="U194" s="141"/>
      <c r="V194" s="141"/>
      <c r="W194" s="515"/>
      <c r="X194" s="141"/>
      <c r="Y194" s="141"/>
      <c r="Z194" s="141"/>
      <c r="AA194" s="141"/>
      <c r="AB194" s="141"/>
      <c r="AC194" s="515"/>
      <c r="AD194" s="141"/>
      <c r="AE194" s="141"/>
      <c r="AF194" s="141"/>
      <c r="AG194" s="141"/>
      <c r="AH194" s="141"/>
      <c r="AI194" s="661"/>
      <c r="AJ194" s="330"/>
    </row>
    <row r="195" spans="1:36">
      <c r="A195" s="1101" t="s">
        <v>397</v>
      </c>
      <c r="B195" s="1102"/>
      <c r="C195" s="1102"/>
      <c r="D195" s="1102"/>
      <c r="E195" s="1102"/>
      <c r="F195" s="529"/>
      <c r="G195" s="530"/>
      <c r="H195" s="230"/>
      <c r="I195" s="145"/>
      <c r="J195" s="147"/>
      <c r="K195" s="148"/>
      <c r="L195" s="148"/>
      <c r="M195" s="148"/>
      <c r="N195" s="148"/>
      <c r="O195" s="148"/>
      <c r="P195" s="148"/>
      <c r="Q195" s="531"/>
      <c r="R195" s="148"/>
      <c r="S195" s="148"/>
      <c r="T195" s="148"/>
      <c r="U195" s="148"/>
      <c r="V195" s="148"/>
      <c r="W195" s="531"/>
      <c r="X195" s="148"/>
      <c r="Y195" s="148"/>
      <c r="Z195" s="148"/>
      <c r="AA195" s="148"/>
      <c r="AB195" s="148"/>
      <c r="AC195" s="531"/>
      <c r="AD195" s="148"/>
      <c r="AE195" s="148"/>
      <c r="AF195" s="148"/>
      <c r="AG195" s="148"/>
      <c r="AH195" s="148"/>
      <c r="AI195" s="661"/>
      <c r="AJ195" s="330"/>
    </row>
    <row r="196" spans="1:36">
      <c r="A196" s="1075" t="s">
        <v>401</v>
      </c>
      <c r="B196" s="1076"/>
      <c r="C196" s="1076"/>
      <c r="D196" s="1076"/>
      <c r="E196" s="1076"/>
      <c r="F196" s="531"/>
      <c r="G196" s="532"/>
      <c r="H196" s="232"/>
      <c r="I196" s="149"/>
      <c r="J196" s="151"/>
      <c r="K196" s="148"/>
      <c r="L196" s="148"/>
      <c r="M196" s="148"/>
      <c r="N196" s="148"/>
      <c r="O196" s="148"/>
      <c r="P196" s="148"/>
      <c r="Q196" s="531"/>
      <c r="R196" s="148"/>
      <c r="S196" s="148"/>
      <c r="T196" s="148"/>
      <c r="U196" s="148"/>
      <c r="V196" s="148"/>
      <c r="W196" s="531"/>
      <c r="X196" s="148"/>
      <c r="Y196" s="148"/>
      <c r="Z196" s="148"/>
      <c r="AA196" s="148"/>
      <c r="AB196" s="148"/>
      <c r="AC196" s="531"/>
      <c r="AD196" s="148"/>
      <c r="AE196" s="148"/>
      <c r="AF196" s="148"/>
      <c r="AG196" s="148"/>
      <c r="AH196" s="148"/>
      <c r="AI196" s="661"/>
      <c r="AJ196" s="330"/>
    </row>
    <row r="197" spans="1:36">
      <c r="A197" s="1075" t="s">
        <v>456</v>
      </c>
      <c r="B197" s="1076"/>
      <c r="C197" s="1076"/>
      <c r="D197" s="1076"/>
      <c r="E197" s="1076"/>
      <c r="F197" s="1076"/>
      <c r="G197" s="1076"/>
      <c r="H197" s="1076"/>
      <c r="I197" s="1076"/>
      <c r="J197" s="1076"/>
      <c r="K197" s="148"/>
      <c r="L197" s="148"/>
      <c r="M197" s="148"/>
      <c r="N197" s="148"/>
      <c r="O197" s="148"/>
      <c r="P197" s="148"/>
      <c r="Q197" s="531"/>
      <c r="R197" s="148"/>
      <c r="S197" s="148"/>
      <c r="T197" s="148"/>
      <c r="U197" s="148"/>
      <c r="V197" s="148"/>
      <c r="W197" s="531"/>
      <c r="X197" s="148"/>
      <c r="Y197" s="148"/>
      <c r="Z197" s="148"/>
      <c r="AA197" s="148"/>
      <c r="AB197" s="148"/>
      <c r="AC197" s="531"/>
      <c r="AD197" s="148"/>
      <c r="AE197" s="148"/>
      <c r="AF197" s="148"/>
      <c r="AG197" s="148"/>
      <c r="AH197" s="148"/>
      <c r="AI197" s="661"/>
      <c r="AJ197" s="330"/>
    </row>
    <row r="198" spans="1:36">
      <c r="A198" s="1075" t="s">
        <v>403</v>
      </c>
      <c r="B198" s="1076"/>
      <c r="C198" s="1076"/>
      <c r="D198" s="1076"/>
      <c r="E198" s="148"/>
      <c r="F198" s="531"/>
      <c r="G198" s="532"/>
      <c r="H198" s="232"/>
      <c r="I198" s="149"/>
      <c r="J198" s="151"/>
      <c r="K198" s="148"/>
      <c r="L198" s="148"/>
      <c r="M198" s="148"/>
      <c r="N198" s="148"/>
      <c r="O198" s="148"/>
      <c r="P198" s="148"/>
      <c r="Q198" s="531"/>
      <c r="R198" s="148"/>
      <c r="S198" s="148"/>
      <c r="T198" s="148"/>
      <c r="U198" s="148"/>
      <c r="V198" s="148"/>
      <c r="W198" s="531"/>
      <c r="X198" s="148"/>
      <c r="Y198" s="148"/>
      <c r="Z198" s="148"/>
      <c r="AA198" s="148"/>
      <c r="AB198" s="148"/>
      <c r="AC198" s="531"/>
      <c r="AD198" s="148"/>
      <c r="AE198" s="148"/>
      <c r="AF198" s="148"/>
      <c r="AG198" s="148"/>
      <c r="AH198" s="148"/>
      <c r="AI198" s="661"/>
      <c r="AJ198" s="330"/>
    </row>
    <row r="199" spans="1:36" ht="76.5">
      <c r="A199" s="448" t="s">
        <v>468</v>
      </c>
      <c r="B199" s="149"/>
      <c r="C199" s="151"/>
      <c r="D199" s="233" t="s">
        <v>457</v>
      </c>
      <c r="E199" s="234" t="s">
        <v>458</v>
      </c>
      <c r="F199" s="541" t="s">
        <v>80</v>
      </c>
      <c r="G199" s="533" t="s">
        <v>65</v>
      </c>
      <c r="H199" s="235">
        <v>7</v>
      </c>
      <c r="I199" s="235">
        <v>5</v>
      </c>
      <c r="J199" s="151"/>
      <c r="K199" s="148"/>
      <c r="L199" s="158">
        <v>0</v>
      </c>
      <c r="M199" s="148"/>
      <c r="N199" s="148"/>
      <c r="O199" s="148"/>
      <c r="P199" s="148"/>
      <c r="Q199" s="533">
        <f>SUM(L199:P199)</f>
        <v>0</v>
      </c>
      <c r="R199" s="236">
        <v>167716.22</v>
      </c>
      <c r="S199" s="148"/>
      <c r="T199" s="148"/>
      <c r="U199" s="148"/>
      <c r="V199" s="148"/>
      <c r="W199" s="596">
        <v>167716.22</v>
      </c>
      <c r="X199" s="236">
        <v>167716.22</v>
      </c>
      <c r="Y199" s="148"/>
      <c r="Z199" s="148"/>
      <c r="AA199" s="148"/>
      <c r="AB199" s="148"/>
      <c r="AC199" s="596">
        <v>167716.22</v>
      </c>
      <c r="AD199" s="236">
        <v>298805.71999999997</v>
      </c>
      <c r="AE199" s="148"/>
      <c r="AF199" s="148"/>
      <c r="AG199" s="148"/>
      <c r="AH199" s="148"/>
      <c r="AI199" s="662">
        <f>SUM(AD199:AH199)</f>
        <v>298805.71999999997</v>
      </c>
      <c r="AJ199" s="330"/>
    </row>
    <row r="200" spans="1:36" ht="63.75">
      <c r="A200" s="449"/>
      <c r="B200" s="237"/>
      <c r="C200" s="151"/>
      <c r="D200" s="233" t="s">
        <v>459</v>
      </c>
      <c r="E200" s="234" t="s">
        <v>460</v>
      </c>
      <c r="F200" s="541" t="s">
        <v>80</v>
      </c>
      <c r="G200" s="533" t="s">
        <v>65</v>
      </c>
      <c r="H200" s="235">
        <v>7</v>
      </c>
      <c r="I200" s="235">
        <v>5</v>
      </c>
      <c r="J200" s="151"/>
      <c r="K200" s="148"/>
      <c r="L200" s="236">
        <v>40181</v>
      </c>
      <c r="M200" s="148"/>
      <c r="N200" s="148"/>
      <c r="O200" s="148"/>
      <c r="P200" s="148"/>
      <c r="Q200" s="533">
        <f>SUM(L200:P200)</f>
        <v>40181</v>
      </c>
      <c r="R200" s="148">
        <v>0</v>
      </c>
      <c r="S200" s="148"/>
      <c r="T200" s="148"/>
      <c r="U200" s="148"/>
      <c r="V200" s="148"/>
      <c r="W200" s="533">
        <f t="shared" ref="W200:W210" si="12">SUM(R200:V200)</f>
        <v>0</v>
      </c>
      <c r="X200" s="148">
        <v>0</v>
      </c>
      <c r="Y200" s="148">
        <v>0</v>
      </c>
      <c r="Z200" s="148"/>
      <c r="AA200" s="148"/>
      <c r="AB200" s="148"/>
      <c r="AC200" s="531">
        <f t="shared" ref="AC200:AC211" si="13">SUM(X200:AB200)</f>
        <v>0</v>
      </c>
      <c r="AD200" s="148">
        <v>0</v>
      </c>
      <c r="AE200" s="148"/>
      <c r="AF200" s="148"/>
      <c r="AG200" s="148"/>
      <c r="AH200" s="148"/>
      <c r="AI200" s="662">
        <f t="shared" ref="AI200:AI211" si="14">SUM(AD200:AH200)</f>
        <v>0</v>
      </c>
      <c r="AJ200" s="330"/>
    </row>
    <row r="201" spans="1:36" ht="76.5">
      <c r="A201" s="449"/>
      <c r="B201" s="237"/>
      <c r="C201" s="151"/>
      <c r="D201" s="233" t="s">
        <v>461</v>
      </c>
      <c r="E201" s="234" t="s">
        <v>462</v>
      </c>
      <c r="F201" s="541" t="s">
        <v>80</v>
      </c>
      <c r="G201" s="533" t="s">
        <v>65</v>
      </c>
      <c r="H201" s="235">
        <v>7</v>
      </c>
      <c r="I201" s="235">
        <v>5</v>
      </c>
      <c r="J201" s="151"/>
      <c r="K201" s="148"/>
      <c r="L201" s="158"/>
      <c r="M201" s="148"/>
      <c r="N201" s="148"/>
      <c r="O201" s="148"/>
      <c r="P201" s="148"/>
      <c r="Q201" s="533">
        <f t="shared" ref="Q201:Q211" si="15">SUM(L201:P201)</f>
        <v>0</v>
      </c>
      <c r="R201" s="236">
        <f>17395+25483</f>
        <v>42878</v>
      </c>
      <c r="S201" s="148"/>
      <c r="T201" s="148"/>
      <c r="U201" s="148"/>
      <c r="V201" s="148"/>
      <c r="W201" s="596">
        <f>17395+25483</f>
        <v>42878</v>
      </c>
      <c r="X201" s="236">
        <v>69995</v>
      </c>
      <c r="Y201" s="148"/>
      <c r="Z201" s="148"/>
      <c r="AA201" s="148"/>
      <c r="AB201" s="148"/>
      <c r="AC201" s="596">
        <v>69995</v>
      </c>
      <c r="AD201" s="236">
        <v>39600</v>
      </c>
      <c r="AE201" s="148"/>
      <c r="AF201" s="148"/>
      <c r="AG201" s="148"/>
      <c r="AH201" s="148"/>
      <c r="AI201" s="662">
        <f t="shared" si="14"/>
        <v>39600</v>
      </c>
      <c r="AJ201" s="330"/>
    </row>
    <row r="202" spans="1:36">
      <c r="A202" s="165"/>
      <c r="B202" s="237"/>
      <c r="C202" s="151"/>
      <c r="D202" s="149"/>
      <c r="E202" s="151"/>
      <c r="F202" s="531"/>
      <c r="G202" s="531"/>
      <c r="H202" s="148"/>
      <c r="I202" s="149"/>
      <c r="J202" s="151"/>
      <c r="K202" s="148"/>
      <c r="L202" s="158"/>
      <c r="M202" s="148"/>
      <c r="N202" s="148"/>
      <c r="O202" s="148"/>
      <c r="P202" s="148"/>
      <c r="Q202" s="533">
        <f t="shared" si="15"/>
        <v>0</v>
      </c>
      <c r="R202" s="148"/>
      <c r="S202" s="148"/>
      <c r="T202" s="148"/>
      <c r="U202" s="148"/>
      <c r="V202" s="148"/>
      <c r="W202" s="533">
        <f t="shared" si="12"/>
        <v>0</v>
      </c>
      <c r="X202" s="148"/>
      <c r="Y202" s="148"/>
      <c r="Z202" s="148"/>
      <c r="AA202" s="148"/>
      <c r="AB202" s="148"/>
      <c r="AC202" s="531">
        <f t="shared" si="13"/>
        <v>0</v>
      </c>
      <c r="AD202" s="148"/>
      <c r="AE202" s="148"/>
      <c r="AF202" s="148"/>
      <c r="AG202" s="148"/>
      <c r="AH202" s="148"/>
      <c r="AI202" s="662">
        <f t="shared" si="14"/>
        <v>0</v>
      </c>
      <c r="AJ202" s="330"/>
    </row>
    <row r="203" spans="1:36" ht="89.25">
      <c r="A203" s="66" t="s">
        <v>481</v>
      </c>
      <c r="B203" s="149"/>
      <c r="C203" s="148"/>
      <c r="D203" s="233" t="s">
        <v>461</v>
      </c>
      <c r="E203" s="234" t="s">
        <v>463</v>
      </c>
      <c r="F203" s="531" t="s">
        <v>80</v>
      </c>
      <c r="G203" s="533" t="s">
        <v>65</v>
      </c>
      <c r="H203" s="235">
        <v>7</v>
      </c>
      <c r="I203" s="235">
        <v>5</v>
      </c>
      <c r="J203" s="151"/>
      <c r="K203" s="148"/>
      <c r="L203" s="148"/>
      <c r="M203" s="148"/>
      <c r="N203" s="148"/>
      <c r="O203" s="148"/>
      <c r="P203" s="148"/>
      <c r="Q203" s="533">
        <f t="shared" si="15"/>
        <v>0</v>
      </c>
      <c r="R203" s="236">
        <v>25000</v>
      </c>
      <c r="S203" s="148"/>
      <c r="T203" s="148"/>
      <c r="U203" s="148"/>
      <c r="V203" s="148"/>
      <c r="W203" s="596">
        <v>25000</v>
      </c>
      <c r="X203" s="236">
        <v>25000</v>
      </c>
      <c r="Y203" s="148"/>
      <c r="Z203" s="148"/>
      <c r="AA203" s="148"/>
      <c r="AB203" s="148"/>
      <c r="AC203" s="596">
        <v>25000</v>
      </c>
      <c r="AD203" s="236">
        <v>25000</v>
      </c>
      <c r="AE203" s="148"/>
      <c r="AF203" s="148"/>
      <c r="AG203" s="148"/>
      <c r="AH203" s="148"/>
      <c r="AI203" s="662">
        <f t="shared" si="14"/>
        <v>25000</v>
      </c>
      <c r="AJ203" s="330"/>
    </row>
    <row r="204" spans="1:36" ht="89.25">
      <c r="A204" s="66" t="s">
        <v>482</v>
      </c>
      <c r="B204" s="237"/>
      <c r="C204" s="151"/>
      <c r="D204" s="233" t="s">
        <v>404</v>
      </c>
      <c r="E204" s="234" t="s">
        <v>464</v>
      </c>
      <c r="F204" s="541" t="s">
        <v>80</v>
      </c>
      <c r="G204" s="533" t="s">
        <v>65</v>
      </c>
      <c r="H204" s="235">
        <v>7</v>
      </c>
      <c r="I204" s="235" t="s">
        <v>465</v>
      </c>
      <c r="J204" s="151"/>
      <c r="K204" s="148"/>
      <c r="L204" s="236">
        <v>12500</v>
      </c>
      <c r="M204" s="148"/>
      <c r="N204" s="148"/>
      <c r="O204" s="148"/>
      <c r="P204" s="148"/>
      <c r="Q204" s="533">
        <f t="shared" si="15"/>
        <v>12500</v>
      </c>
      <c r="R204" s="148">
        <v>0</v>
      </c>
      <c r="S204" s="148"/>
      <c r="T204" s="148"/>
      <c r="U204" s="148"/>
      <c r="V204" s="148"/>
      <c r="W204" s="533">
        <f>SUM(R204:V204)</f>
        <v>0</v>
      </c>
      <c r="X204" s="148">
        <v>0</v>
      </c>
      <c r="Y204" s="148"/>
      <c r="Z204" s="148"/>
      <c r="AA204" s="148"/>
      <c r="AB204" s="148"/>
      <c r="AC204" s="531">
        <f t="shared" si="13"/>
        <v>0</v>
      </c>
      <c r="AD204" s="148">
        <v>0</v>
      </c>
      <c r="AE204" s="148"/>
      <c r="AF204" s="148"/>
      <c r="AG204" s="148"/>
      <c r="AH204" s="148"/>
      <c r="AI204" s="662">
        <f t="shared" si="14"/>
        <v>0</v>
      </c>
      <c r="AJ204" s="330"/>
    </row>
    <row r="205" spans="1:36" ht="76.5">
      <c r="A205" s="66" t="s">
        <v>483</v>
      </c>
      <c r="B205" s="149"/>
      <c r="C205" s="148"/>
      <c r="D205" s="233" t="s">
        <v>404</v>
      </c>
      <c r="E205" s="234" t="s">
        <v>466</v>
      </c>
      <c r="F205" s="541" t="s">
        <v>80</v>
      </c>
      <c r="G205" s="533" t="s">
        <v>65</v>
      </c>
      <c r="H205" s="235">
        <v>7</v>
      </c>
      <c r="I205" s="235">
        <v>5</v>
      </c>
      <c r="J205" s="151"/>
      <c r="K205" s="148"/>
      <c r="L205" s="236">
        <v>20000</v>
      </c>
      <c r="M205" s="148"/>
      <c r="N205" s="148"/>
      <c r="O205" s="148"/>
      <c r="P205" s="148"/>
      <c r="Q205" s="533">
        <f t="shared" si="15"/>
        <v>20000</v>
      </c>
      <c r="R205" s="236">
        <v>0</v>
      </c>
      <c r="S205" s="148"/>
      <c r="T205" s="148"/>
      <c r="U205" s="148"/>
      <c r="V205" s="148"/>
      <c r="W205" s="533">
        <f t="shared" si="12"/>
        <v>0</v>
      </c>
      <c r="X205" s="236">
        <v>0</v>
      </c>
      <c r="Y205" s="148"/>
      <c r="Z205" s="148"/>
      <c r="AA205" s="148"/>
      <c r="AB205" s="148"/>
      <c r="AC205" s="531">
        <f t="shared" si="13"/>
        <v>0</v>
      </c>
      <c r="AD205" s="236">
        <v>0</v>
      </c>
      <c r="AE205" s="148"/>
      <c r="AF205" s="148"/>
      <c r="AG205" s="148"/>
      <c r="AH205" s="148"/>
      <c r="AI205" s="662">
        <f t="shared" si="14"/>
        <v>0</v>
      </c>
      <c r="AJ205" s="330"/>
    </row>
    <row r="206" spans="1:36">
      <c r="A206" s="1094" t="s">
        <v>467</v>
      </c>
      <c r="B206" s="1094"/>
      <c r="C206" s="1094"/>
      <c r="D206" s="1094"/>
      <c r="E206" s="1094"/>
      <c r="F206" s="1094"/>
      <c r="G206" s="1094"/>
      <c r="H206" s="1094"/>
      <c r="I206" s="1094"/>
      <c r="J206" s="151"/>
      <c r="K206" s="148"/>
      <c r="L206" s="148"/>
      <c r="M206" s="148"/>
      <c r="N206" s="148"/>
      <c r="O206" s="148"/>
      <c r="P206" s="148"/>
      <c r="Q206" s="533">
        <f t="shared" si="15"/>
        <v>0</v>
      </c>
      <c r="R206" s="148"/>
      <c r="S206" s="148"/>
      <c r="T206" s="148"/>
      <c r="U206" s="148"/>
      <c r="V206" s="148"/>
      <c r="W206" s="533">
        <f t="shared" si="12"/>
        <v>0</v>
      </c>
      <c r="X206" s="148"/>
      <c r="Y206" s="148"/>
      <c r="Z206" s="148"/>
      <c r="AA206" s="148"/>
      <c r="AB206" s="148"/>
      <c r="AC206" s="531">
        <f t="shared" si="13"/>
        <v>0</v>
      </c>
      <c r="AD206" s="148"/>
      <c r="AE206" s="148"/>
      <c r="AF206" s="148"/>
      <c r="AG206" s="148"/>
      <c r="AH206" s="148"/>
      <c r="AI206" s="662">
        <f t="shared" si="14"/>
        <v>0</v>
      </c>
      <c r="AJ206" s="330"/>
    </row>
    <row r="207" spans="1:36" ht="76.5">
      <c r="A207" s="1094" t="s">
        <v>468</v>
      </c>
      <c r="B207" s="149"/>
      <c r="C207" s="148"/>
      <c r="D207" s="238" t="s">
        <v>469</v>
      </c>
      <c r="E207" s="234" t="s">
        <v>470</v>
      </c>
      <c r="F207" s="541" t="s">
        <v>80</v>
      </c>
      <c r="G207" s="531" t="s">
        <v>65</v>
      </c>
      <c r="H207" s="235">
        <v>7</v>
      </c>
      <c r="I207" s="235">
        <v>5</v>
      </c>
      <c r="J207" s="151"/>
      <c r="K207" s="148"/>
      <c r="L207" s="148">
        <v>0</v>
      </c>
      <c r="M207" s="148"/>
      <c r="N207" s="148"/>
      <c r="O207" s="157"/>
      <c r="P207" s="148"/>
      <c r="Q207" s="533">
        <f t="shared" si="15"/>
        <v>0</v>
      </c>
      <c r="R207" s="236">
        <v>20000</v>
      </c>
      <c r="S207" s="148"/>
      <c r="T207" s="148"/>
      <c r="U207" s="157"/>
      <c r="V207" s="148"/>
      <c r="W207" s="533">
        <f t="shared" si="12"/>
        <v>20000</v>
      </c>
      <c r="X207" s="148">
        <v>0</v>
      </c>
      <c r="Y207" s="148"/>
      <c r="Z207" s="148"/>
      <c r="AA207" s="148"/>
      <c r="AB207" s="148"/>
      <c r="AC207" s="531">
        <f t="shared" si="13"/>
        <v>0</v>
      </c>
      <c r="AD207" s="148">
        <v>0</v>
      </c>
      <c r="AE207" s="148"/>
      <c r="AF207" s="148"/>
      <c r="AG207" s="157"/>
      <c r="AH207" s="148"/>
      <c r="AI207" s="662">
        <f t="shared" si="14"/>
        <v>0</v>
      </c>
      <c r="AJ207" s="330"/>
    </row>
    <row r="208" spans="1:36" ht="76.5">
      <c r="A208" s="1094"/>
      <c r="B208" s="149"/>
      <c r="C208" s="148"/>
      <c r="D208" s="238" t="s">
        <v>471</v>
      </c>
      <c r="E208" s="234" t="s">
        <v>472</v>
      </c>
      <c r="F208" s="541" t="s">
        <v>80</v>
      </c>
      <c r="G208" s="531" t="s">
        <v>65</v>
      </c>
      <c r="H208" s="235">
        <v>7</v>
      </c>
      <c r="I208" s="235">
        <v>5</v>
      </c>
      <c r="J208" s="151"/>
      <c r="K208" s="148"/>
      <c r="L208" s="158">
        <v>0</v>
      </c>
      <c r="M208" s="148"/>
      <c r="N208" s="148"/>
      <c r="O208" s="148"/>
      <c r="P208" s="148"/>
      <c r="Q208" s="533">
        <f t="shared" si="15"/>
        <v>0</v>
      </c>
      <c r="R208" s="236">
        <v>66593</v>
      </c>
      <c r="S208" s="148"/>
      <c r="T208" s="148"/>
      <c r="U208" s="148"/>
      <c r="V208" s="148"/>
      <c r="W208" s="596">
        <v>66593</v>
      </c>
      <c r="X208" s="236">
        <v>49984</v>
      </c>
      <c r="Y208" s="148"/>
      <c r="Z208" s="148"/>
      <c r="AA208" s="148"/>
      <c r="AB208" s="148"/>
      <c r="AC208" s="596">
        <v>49984</v>
      </c>
      <c r="AD208" s="236">
        <v>73217</v>
      </c>
      <c r="AE208" s="148"/>
      <c r="AF208" s="148"/>
      <c r="AG208" s="148"/>
      <c r="AH208" s="148"/>
      <c r="AI208" s="662">
        <f t="shared" si="14"/>
        <v>73217</v>
      </c>
      <c r="AJ208" s="330"/>
    </row>
    <row r="209" spans="1:36" ht="76.5">
      <c r="A209" s="1094"/>
      <c r="B209" s="149"/>
      <c r="C209" s="148"/>
      <c r="D209" s="235" t="s">
        <v>473</v>
      </c>
      <c r="E209" s="234" t="s">
        <v>474</v>
      </c>
      <c r="F209" s="541" t="s">
        <v>80</v>
      </c>
      <c r="G209" s="531" t="s">
        <v>65</v>
      </c>
      <c r="H209" s="235">
        <v>7</v>
      </c>
      <c r="I209" s="235">
        <v>5</v>
      </c>
      <c r="J209" s="151"/>
      <c r="K209" s="148"/>
      <c r="L209" s="236">
        <v>2285</v>
      </c>
      <c r="M209" s="148"/>
      <c r="N209" s="148"/>
      <c r="O209" s="157"/>
      <c r="P209" s="148"/>
      <c r="Q209" s="533">
        <f t="shared" si="15"/>
        <v>2285</v>
      </c>
      <c r="R209" s="236">
        <v>6310</v>
      </c>
      <c r="S209" s="148"/>
      <c r="T209" s="148"/>
      <c r="U209" s="157"/>
      <c r="V209" s="148"/>
      <c r="W209" s="533">
        <f t="shared" si="12"/>
        <v>6310</v>
      </c>
      <c r="X209" s="236">
        <v>5590</v>
      </c>
      <c r="Y209" s="148"/>
      <c r="Z209" s="148"/>
      <c r="AA209" s="148"/>
      <c r="AB209" s="148"/>
      <c r="AC209" s="596">
        <v>5590</v>
      </c>
      <c r="AD209" s="236">
        <v>2460</v>
      </c>
      <c r="AE209" s="148"/>
      <c r="AF209" s="148"/>
      <c r="AG209" s="157"/>
      <c r="AH209" s="148"/>
      <c r="AI209" s="662">
        <f t="shared" si="14"/>
        <v>2460</v>
      </c>
      <c r="AJ209" s="330"/>
    </row>
    <row r="210" spans="1:36" ht="89.25">
      <c r="A210" s="66" t="s">
        <v>475</v>
      </c>
      <c r="B210" s="149"/>
      <c r="C210" s="148"/>
      <c r="D210" s="233" t="s">
        <v>404</v>
      </c>
      <c r="E210" s="234" t="s">
        <v>476</v>
      </c>
      <c r="F210" s="541" t="s">
        <v>80</v>
      </c>
      <c r="G210" s="531" t="s">
        <v>65</v>
      </c>
      <c r="H210" s="235" t="s">
        <v>406</v>
      </c>
      <c r="I210" s="149">
        <v>5</v>
      </c>
      <c r="J210" s="151"/>
      <c r="K210" s="148"/>
      <c r="L210" s="239">
        <v>0</v>
      </c>
      <c r="M210" s="148"/>
      <c r="N210" s="148"/>
      <c r="O210" s="148"/>
      <c r="P210" s="148"/>
      <c r="Q210" s="533">
        <f t="shared" si="15"/>
        <v>0</v>
      </c>
      <c r="R210" s="148">
        <v>0</v>
      </c>
      <c r="S210" s="148"/>
      <c r="T210" s="148"/>
      <c r="U210" s="148"/>
      <c r="V210" s="148"/>
      <c r="W210" s="533">
        <f t="shared" si="12"/>
        <v>0</v>
      </c>
      <c r="X210" s="236">
        <v>100000</v>
      </c>
      <c r="Y210" s="148"/>
      <c r="Z210" s="148"/>
      <c r="AA210" s="148"/>
      <c r="AB210" s="148"/>
      <c r="AC210" s="596">
        <v>100000</v>
      </c>
      <c r="AD210" s="236">
        <v>100000</v>
      </c>
      <c r="AE210" s="148"/>
      <c r="AF210" s="148"/>
      <c r="AG210" s="148"/>
      <c r="AH210" s="148"/>
      <c r="AI210" s="662">
        <f t="shared" si="14"/>
        <v>100000</v>
      </c>
      <c r="AJ210" s="330"/>
    </row>
    <row r="211" spans="1:36" ht="89.25">
      <c r="A211" s="66" t="s">
        <v>477</v>
      </c>
      <c r="B211" s="149"/>
      <c r="C211" s="148"/>
      <c r="D211" s="233" t="s">
        <v>404</v>
      </c>
      <c r="E211" s="234" t="s">
        <v>478</v>
      </c>
      <c r="F211" s="541" t="s">
        <v>80</v>
      </c>
      <c r="G211" s="531"/>
      <c r="H211" s="235">
        <v>7</v>
      </c>
      <c r="I211" s="235">
        <v>5</v>
      </c>
      <c r="J211" s="151"/>
      <c r="K211" s="148"/>
      <c r="L211" s="148">
        <v>0</v>
      </c>
      <c r="M211" s="148"/>
      <c r="N211" s="148"/>
      <c r="O211" s="148"/>
      <c r="P211" s="148"/>
      <c r="Q211" s="533">
        <f t="shared" si="15"/>
        <v>0</v>
      </c>
      <c r="R211" s="240">
        <v>126056.23</v>
      </c>
      <c r="S211" s="148"/>
      <c r="T211" s="148"/>
      <c r="U211" s="148"/>
      <c r="V211" s="148"/>
      <c r="W211" s="638">
        <f>SUM(R211:V211)</f>
        <v>126056.23</v>
      </c>
      <c r="X211" s="240"/>
      <c r="Y211" s="148">
        <v>0</v>
      </c>
      <c r="Z211" s="148"/>
      <c r="AA211" s="148"/>
      <c r="AB211" s="148"/>
      <c r="AC211" s="531">
        <f t="shared" si="13"/>
        <v>0</v>
      </c>
      <c r="AD211" s="148">
        <v>0</v>
      </c>
      <c r="AE211" s="148"/>
      <c r="AF211" s="148"/>
      <c r="AG211" s="148"/>
      <c r="AH211" s="148"/>
      <c r="AI211" s="662">
        <f t="shared" si="14"/>
        <v>0</v>
      </c>
      <c r="AJ211" s="330"/>
    </row>
    <row r="212" spans="1:36">
      <c r="A212" s="241" t="s">
        <v>479</v>
      </c>
      <c r="B212" s="170"/>
      <c r="C212" s="175"/>
      <c r="D212" s="352"/>
      <c r="E212" s="353"/>
      <c r="F212" s="542"/>
      <c r="G212" s="543"/>
      <c r="H212" s="354"/>
      <c r="I212" s="354"/>
      <c r="J212" s="171"/>
      <c r="K212" s="175"/>
      <c r="L212" s="312">
        <v>74966</v>
      </c>
      <c r="M212" s="175"/>
      <c r="N212" s="175"/>
      <c r="O212" s="175"/>
      <c r="P212" s="175"/>
      <c r="Q212" s="620">
        <v>74966</v>
      </c>
      <c r="R212" s="356">
        <v>454553</v>
      </c>
      <c r="S212" s="175"/>
      <c r="T212" s="175"/>
      <c r="U212" s="175"/>
      <c r="V212" s="175"/>
      <c r="W212" s="639">
        <v>454533</v>
      </c>
      <c r="X212" s="356">
        <v>344421</v>
      </c>
      <c r="Y212" s="175"/>
      <c r="Z212" s="175"/>
      <c r="AA212" s="175"/>
      <c r="AB212" s="175"/>
      <c r="AC212" s="597">
        <v>344421</v>
      </c>
      <c r="AD212" s="312">
        <v>539083</v>
      </c>
      <c r="AE212" s="175"/>
      <c r="AF212" s="175"/>
      <c r="AG212" s="175"/>
      <c r="AH212" s="175"/>
      <c r="AI212" s="663">
        <v>539083</v>
      </c>
      <c r="AJ212" s="359">
        <v>1413023</v>
      </c>
    </row>
    <row r="213" spans="1:36">
      <c r="A213" s="241"/>
      <c r="B213" s="170"/>
      <c r="C213" s="175"/>
      <c r="D213" s="352"/>
      <c r="E213" s="353"/>
      <c r="F213" s="542"/>
      <c r="G213" s="543"/>
      <c r="H213" s="354"/>
      <c r="I213" s="354"/>
      <c r="J213" s="171"/>
      <c r="K213" s="175"/>
      <c r="L213" s="425">
        <f>SUM(L199:L211)</f>
        <v>74966</v>
      </c>
      <c r="M213" s="425">
        <f t="shared" ref="M213:AG213" si="16">SUM(M199:M211)</f>
        <v>0</v>
      </c>
      <c r="N213" s="425">
        <f t="shared" si="16"/>
        <v>0</v>
      </c>
      <c r="O213" s="425">
        <f t="shared" si="16"/>
        <v>0</v>
      </c>
      <c r="P213" s="425">
        <f t="shared" si="16"/>
        <v>0</v>
      </c>
      <c r="Q213" s="597">
        <f t="shared" si="16"/>
        <v>74966</v>
      </c>
      <c r="R213" s="425">
        <f t="shared" si="16"/>
        <v>454553.44999999995</v>
      </c>
      <c r="S213" s="425">
        <f t="shared" si="16"/>
        <v>0</v>
      </c>
      <c r="T213" s="425">
        <f t="shared" si="16"/>
        <v>0</v>
      </c>
      <c r="U213" s="425">
        <f t="shared" si="16"/>
        <v>0</v>
      </c>
      <c r="V213" s="425">
        <f t="shared" si="16"/>
        <v>0</v>
      </c>
      <c r="W213" s="597">
        <f t="shared" si="16"/>
        <v>454553.44999999995</v>
      </c>
      <c r="X213" s="425">
        <f t="shared" si="16"/>
        <v>418285.22</v>
      </c>
      <c r="Y213" s="425">
        <f t="shared" si="16"/>
        <v>0</v>
      </c>
      <c r="Z213" s="425">
        <f t="shared" si="16"/>
        <v>0</v>
      </c>
      <c r="AA213" s="425">
        <f t="shared" si="16"/>
        <v>0</v>
      </c>
      <c r="AB213" s="425">
        <f t="shared" si="16"/>
        <v>0</v>
      </c>
      <c r="AC213" s="597">
        <f t="shared" si="16"/>
        <v>418285.22</v>
      </c>
      <c r="AD213" s="425">
        <f t="shared" si="16"/>
        <v>539082.72</v>
      </c>
      <c r="AE213" s="425">
        <f t="shared" si="16"/>
        <v>0</v>
      </c>
      <c r="AF213" s="425">
        <f t="shared" si="16"/>
        <v>0</v>
      </c>
      <c r="AG213" s="425">
        <f t="shared" si="16"/>
        <v>0</v>
      </c>
      <c r="AH213" s="425">
        <f>SUM(AH199:AH211)</f>
        <v>0</v>
      </c>
      <c r="AI213" s="597">
        <f>SUM(AI199:AI211)</f>
        <v>539082.72</v>
      </c>
      <c r="AJ213" s="426">
        <f>SUM(AI213+AC213+W213+Q213)</f>
        <v>1486887.39</v>
      </c>
    </row>
    <row r="214" spans="1:36">
      <c r="A214" s="66"/>
      <c r="B214" s="149"/>
      <c r="C214" s="148"/>
      <c r="D214" s="233"/>
      <c r="E214" s="234"/>
      <c r="F214" s="541"/>
      <c r="G214" s="531"/>
      <c r="H214" s="235"/>
      <c r="I214" s="235"/>
      <c r="J214" s="151"/>
      <c r="K214" s="148"/>
      <c r="L214" s="148"/>
      <c r="M214" s="148"/>
      <c r="N214" s="148"/>
      <c r="O214" s="148"/>
      <c r="P214" s="148"/>
      <c r="Q214" s="533"/>
      <c r="R214" s="240"/>
      <c r="S214" s="148"/>
      <c r="T214" s="148"/>
      <c r="U214" s="148"/>
      <c r="V214" s="148"/>
      <c r="W214" s="533"/>
      <c r="X214" s="240"/>
      <c r="Y214" s="148"/>
      <c r="Z214" s="148"/>
      <c r="AA214" s="148"/>
      <c r="AB214" s="148"/>
      <c r="AC214" s="531"/>
      <c r="AD214" s="148"/>
      <c r="AE214" s="148"/>
      <c r="AF214" s="148"/>
      <c r="AG214" s="148"/>
      <c r="AH214" s="148"/>
      <c r="AI214" s="661"/>
      <c r="AJ214" s="330"/>
    </row>
    <row r="215" spans="1:36">
      <c r="A215" s="66"/>
      <c r="B215" s="149"/>
      <c r="C215" s="148"/>
      <c r="D215" s="233"/>
      <c r="E215" s="234"/>
      <c r="F215" s="541"/>
      <c r="G215" s="531"/>
      <c r="H215" s="235"/>
      <c r="I215" s="235"/>
      <c r="J215" s="151"/>
      <c r="K215" s="148"/>
      <c r="L215" s="148"/>
      <c r="M215" s="148"/>
      <c r="N215" s="148"/>
      <c r="O215" s="148"/>
      <c r="P215" s="148"/>
      <c r="Q215" s="533"/>
      <c r="R215" s="240"/>
      <c r="S215" s="148"/>
      <c r="T215" s="148"/>
      <c r="U215" s="148"/>
      <c r="V215" s="148"/>
      <c r="W215" s="533"/>
      <c r="X215" s="240"/>
      <c r="Y215" s="148"/>
      <c r="Z215" s="148"/>
      <c r="AA215" s="148"/>
      <c r="AB215" s="148"/>
      <c r="AC215" s="531"/>
      <c r="AD215" s="148"/>
      <c r="AE215" s="148"/>
      <c r="AF215" s="148"/>
      <c r="AG215" s="148"/>
      <c r="AH215" s="148"/>
      <c r="AI215" s="661"/>
      <c r="AJ215" s="330"/>
    </row>
    <row r="216" spans="1:36">
      <c r="A216" s="4"/>
      <c r="B216" s="149"/>
      <c r="C216" s="148"/>
      <c r="D216" s="149"/>
      <c r="E216" s="148"/>
      <c r="F216" s="531"/>
      <c r="G216" s="531"/>
      <c r="H216" s="148"/>
      <c r="I216" s="149"/>
      <c r="J216" s="151"/>
      <c r="K216" s="148"/>
      <c r="L216" s="239"/>
      <c r="M216" s="148"/>
      <c r="N216" s="148"/>
      <c r="O216" s="148"/>
      <c r="P216" s="148"/>
      <c r="Q216" s="533"/>
      <c r="R216" s="148"/>
      <c r="S216" s="148"/>
      <c r="T216" s="148"/>
      <c r="U216" s="148"/>
      <c r="V216" s="148"/>
      <c r="W216" s="533"/>
      <c r="X216" s="148"/>
      <c r="Y216" s="148"/>
      <c r="Z216" s="148"/>
      <c r="AA216" s="148"/>
      <c r="AB216" s="148"/>
      <c r="AC216" s="531"/>
      <c r="AD216" s="148"/>
      <c r="AE216" s="148"/>
      <c r="AF216" s="148"/>
      <c r="AG216" s="148"/>
      <c r="AH216" s="148"/>
      <c r="AI216" s="661"/>
      <c r="AJ216" s="330"/>
    </row>
    <row r="217" spans="1:36">
      <c r="A217" s="1095" t="s">
        <v>480</v>
      </c>
      <c r="B217" s="1096"/>
      <c r="C217" s="1096"/>
      <c r="D217" s="1096"/>
      <c r="E217" s="1096"/>
      <c r="F217" s="1096"/>
      <c r="G217" s="1096"/>
      <c r="H217" s="1096"/>
      <c r="I217" s="1096"/>
      <c r="J217" s="1097"/>
      <c r="K217" s="148"/>
      <c r="L217" s="148"/>
      <c r="M217" s="148"/>
      <c r="N217" s="148"/>
      <c r="O217" s="148"/>
      <c r="P217" s="148"/>
      <c r="Q217" s="533"/>
      <c r="R217" s="148"/>
      <c r="S217" s="148"/>
      <c r="T217" s="148"/>
      <c r="U217" s="148"/>
      <c r="V217" s="148"/>
      <c r="W217" s="533"/>
      <c r="X217" s="148"/>
      <c r="Y217" s="148"/>
      <c r="Z217" s="148"/>
      <c r="AA217" s="148"/>
      <c r="AB217" s="148"/>
      <c r="AC217" s="531"/>
      <c r="AD217" s="148"/>
      <c r="AE217" s="148"/>
      <c r="AF217" s="148"/>
      <c r="AG217" s="148"/>
      <c r="AH217" s="148"/>
      <c r="AI217" s="664"/>
      <c r="AJ217" s="332"/>
    </row>
    <row r="218" spans="1:36">
      <c r="A218" s="137"/>
      <c r="B218" s="137"/>
      <c r="C218" s="137"/>
      <c r="D218" s="137"/>
      <c r="E218" s="137"/>
      <c r="F218" s="517"/>
      <c r="G218" s="517"/>
      <c r="H218" s="137"/>
      <c r="I218" s="137"/>
      <c r="J218" s="137"/>
      <c r="K218" s="137"/>
      <c r="L218" s="137"/>
      <c r="M218" s="137"/>
      <c r="N218" s="137"/>
      <c r="O218" s="137"/>
      <c r="P218" s="137"/>
      <c r="Q218" s="517"/>
      <c r="R218" s="137"/>
      <c r="S218" s="137"/>
      <c r="T218" s="137"/>
      <c r="U218" s="137"/>
      <c r="V218" s="137"/>
      <c r="W218" s="517"/>
      <c r="X218" s="137"/>
      <c r="Y218" s="137"/>
      <c r="Z218" s="137"/>
      <c r="AA218" s="137"/>
      <c r="AB218" s="137"/>
      <c r="AC218" s="517"/>
      <c r="AD218" s="137"/>
      <c r="AE218" s="137"/>
      <c r="AF218" s="137"/>
      <c r="AG218" s="137"/>
      <c r="AH218" s="137"/>
    </row>
    <row r="219" spans="1:36" ht="15" customHeight="1">
      <c r="A219" s="1084"/>
      <c r="B219" s="462"/>
      <c r="C219" s="462"/>
      <c r="D219" s="1084" t="s">
        <v>0</v>
      </c>
      <c r="E219" s="1084" t="s">
        <v>210</v>
      </c>
      <c r="F219" s="1188" t="s">
        <v>5</v>
      </c>
      <c r="G219" s="1189"/>
      <c r="H219" s="1084" t="s">
        <v>22</v>
      </c>
      <c r="I219" s="1084" t="s">
        <v>211</v>
      </c>
      <c r="J219" s="1084" t="s">
        <v>212</v>
      </c>
      <c r="K219" s="1084" t="s">
        <v>213</v>
      </c>
      <c r="L219" s="1087" t="s">
        <v>214</v>
      </c>
      <c r="M219" s="1088"/>
      <c r="N219" s="1088"/>
      <c r="O219" s="1088"/>
      <c r="P219" s="1088"/>
      <c r="Q219" s="1088"/>
      <c r="R219" s="1088"/>
      <c r="S219" s="1088"/>
      <c r="T219" s="1088"/>
      <c r="U219" s="1088"/>
      <c r="V219" s="1088"/>
      <c r="W219" s="1088"/>
      <c r="X219" s="1088"/>
      <c r="Y219" s="1088"/>
      <c r="Z219" s="1088"/>
      <c r="AA219" s="1088"/>
      <c r="AB219" s="1088"/>
      <c r="AC219" s="1088"/>
      <c r="AD219" s="1088"/>
      <c r="AE219" s="1088"/>
      <c r="AF219" s="1088"/>
      <c r="AG219" s="1088"/>
      <c r="AH219" s="1088"/>
    </row>
    <row r="220" spans="1:36" ht="38.25">
      <c r="A220" s="1085"/>
      <c r="B220" s="463" t="s">
        <v>215</v>
      </c>
      <c r="C220" s="463" t="s">
        <v>216</v>
      </c>
      <c r="D220" s="1085"/>
      <c r="E220" s="1085"/>
      <c r="F220" s="1182" t="s">
        <v>217</v>
      </c>
      <c r="G220" s="1182" t="s">
        <v>6</v>
      </c>
      <c r="H220" s="1085"/>
      <c r="I220" s="1085"/>
      <c r="J220" s="1085"/>
      <c r="K220" s="1085"/>
      <c r="L220" s="1091" t="s">
        <v>12</v>
      </c>
      <c r="M220" s="1092"/>
      <c r="N220" s="1092"/>
      <c r="O220" s="1092"/>
      <c r="P220" s="1092"/>
      <c r="Q220" s="1093"/>
      <c r="R220" s="1091" t="s">
        <v>13</v>
      </c>
      <c r="S220" s="1092"/>
      <c r="T220" s="1092"/>
      <c r="U220" s="1092"/>
      <c r="V220" s="1092"/>
      <c r="W220" s="1093"/>
      <c r="X220" s="1091" t="s">
        <v>14</v>
      </c>
      <c r="Y220" s="1092"/>
      <c r="Z220" s="1092"/>
      <c r="AA220" s="1092"/>
      <c r="AB220" s="1092"/>
      <c r="AC220" s="1093"/>
      <c r="AD220" s="1091" t="s">
        <v>15</v>
      </c>
      <c r="AE220" s="1092"/>
      <c r="AF220" s="1092"/>
      <c r="AG220" s="1092"/>
      <c r="AH220" s="1092"/>
      <c r="AI220" s="641"/>
      <c r="AJ220" s="336"/>
    </row>
    <row r="221" spans="1:36" ht="30">
      <c r="A221" s="1086"/>
      <c r="B221" s="464"/>
      <c r="C221" s="464"/>
      <c r="D221" s="1086"/>
      <c r="E221" s="1086"/>
      <c r="F221" s="1183"/>
      <c r="G221" s="1183"/>
      <c r="H221" s="1086"/>
      <c r="I221" s="1086"/>
      <c r="J221" s="1086"/>
      <c r="K221" s="1086"/>
      <c r="L221" s="96" t="s">
        <v>1</v>
      </c>
      <c r="M221" s="96" t="s">
        <v>9</v>
      </c>
      <c r="N221" s="96" t="s">
        <v>218</v>
      </c>
      <c r="O221" s="96" t="s">
        <v>17</v>
      </c>
      <c r="P221" s="96" t="s">
        <v>19</v>
      </c>
      <c r="Q221" s="564" t="s">
        <v>4</v>
      </c>
      <c r="R221" s="96" t="s">
        <v>1</v>
      </c>
      <c r="S221" s="96" t="s">
        <v>2</v>
      </c>
      <c r="T221" s="96" t="s">
        <v>219</v>
      </c>
      <c r="U221" s="96" t="s">
        <v>17</v>
      </c>
      <c r="V221" s="96" t="s">
        <v>19</v>
      </c>
      <c r="W221" s="564" t="s">
        <v>4</v>
      </c>
      <c r="X221" s="96" t="s">
        <v>1</v>
      </c>
      <c r="Y221" s="96" t="s">
        <v>9</v>
      </c>
      <c r="Z221" s="96" t="s">
        <v>218</v>
      </c>
      <c r="AA221" s="96" t="s">
        <v>17</v>
      </c>
      <c r="AB221" s="96" t="s">
        <v>19</v>
      </c>
      <c r="AC221" s="564" t="s">
        <v>4</v>
      </c>
      <c r="AD221" s="96" t="s">
        <v>1</v>
      </c>
      <c r="AE221" s="96" t="s">
        <v>9</v>
      </c>
      <c r="AF221" s="96" t="s">
        <v>219</v>
      </c>
      <c r="AG221" s="96" t="s">
        <v>17</v>
      </c>
      <c r="AH221" s="465" t="s">
        <v>19</v>
      </c>
      <c r="AI221" s="665" t="s">
        <v>688</v>
      </c>
      <c r="AJ221" s="350" t="s">
        <v>691</v>
      </c>
    </row>
    <row r="222" spans="1:36">
      <c r="A222" s="464"/>
      <c r="B222" s="464" t="s">
        <v>33</v>
      </c>
      <c r="C222" s="464" t="s">
        <v>34</v>
      </c>
      <c r="D222" s="464" t="s">
        <v>45</v>
      </c>
      <c r="E222" s="466" t="s">
        <v>220</v>
      </c>
      <c r="F222" s="506" t="s">
        <v>36</v>
      </c>
      <c r="G222" s="506" t="s">
        <v>37</v>
      </c>
      <c r="H222" s="464" t="s">
        <v>38</v>
      </c>
      <c r="I222" s="464" t="s">
        <v>39</v>
      </c>
      <c r="J222" s="96" t="s">
        <v>40</v>
      </c>
      <c r="K222" s="96" t="s">
        <v>41</v>
      </c>
      <c r="L222" s="96" t="s">
        <v>221</v>
      </c>
      <c r="M222" s="96" t="s">
        <v>222</v>
      </c>
      <c r="N222" s="96" t="s">
        <v>223</v>
      </c>
      <c r="O222" s="96" t="s">
        <v>224</v>
      </c>
      <c r="P222" s="96" t="s">
        <v>225</v>
      </c>
      <c r="Q222" s="564" t="s">
        <v>226</v>
      </c>
      <c r="R222" s="96" t="s">
        <v>227</v>
      </c>
      <c r="S222" s="96" t="s">
        <v>228</v>
      </c>
      <c r="T222" s="96" t="s">
        <v>229</v>
      </c>
      <c r="U222" s="96" t="s">
        <v>230</v>
      </c>
      <c r="V222" s="96" t="s">
        <v>231</v>
      </c>
      <c r="W222" s="564" t="s">
        <v>232</v>
      </c>
      <c r="X222" s="96" t="s">
        <v>233</v>
      </c>
      <c r="Y222" s="96" t="s">
        <v>234</v>
      </c>
      <c r="Z222" s="96" t="s">
        <v>235</v>
      </c>
      <c r="AA222" s="96" t="s">
        <v>236</v>
      </c>
      <c r="AB222" s="96" t="s">
        <v>237</v>
      </c>
      <c r="AC222" s="564" t="s">
        <v>238</v>
      </c>
      <c r="AD222" s="96" t="s">
        <v>239</v>
      </c>
      <c r="AE222" s="96" t="s">
        <v>240</v>
      </c>
      <c r="AF222" s="96" t="s">
        <v>241</v>
      </c>
      <c r="AG222" s="96" t="s">
        <v>242</v>
      </c>
      <c r="AH222" s="465" t="s">
        <v>243</v>
      </c>
      <c r="AI222" s="660"/>
      <c r="AJ222" s="332"/>
    </row>
    <row r="223" spans="1:36">
      <c r="A223" s="1075"/>
      <c r="B223" s="1076"/>
      <c r="C223" s="1076"/>
      <c r="D223" s="1077"/>
      <c r="E223" s="148"/>
      <c r="F223" s="531"/>
      <c r="G223" s="532"/>
      <c r="H223" s="232"/>
      <c r="I223" s="149"/>
      <c r="J223" s="151"/>
      <c r="K223" s="148"/>
      <c r="L223" s="148"/>
      <c r="M223" s="148"/>
      <c r="N223" s="148"/>
      <c r="O223" s="148"/>
      <c r="P223" s="148"/>
      <c r="Q223" s="533">
        <f t="shared" ref="Q223:Q254" si="17">SUM(L223:P223)</f>
        <v>0</v>
      </c>
      <c r="R223" s="148"/>
      <c r="S223" s="148"/>
      <c r="T223" s="148"/>
      <c r="U223" s="148"/>
      <c r="V223" s="148"/>
      <c r="W223" s="533">
        <f t="shared" ref="W223:W254" si="18">SUM(R223:V223)</f>
        <v>0</v>
      </c>
      <c r="X223" s="148"/>
      <c r="Y223" s="148"/>
      <c r="Z223" s="148"/>
      <c r="AA223" s="148"/>
      <c r="AB223" s="148"/>
      <c r="AC223" s="531"/>
      <c r="AD223" s="148"/>
      <c r="AE223" s="148"/>
      <c r="AF223" s="148"/>
      <c r="AG223" s="148"/>
      <c r="AH223" s="151"/>
      <c r="AI223" s="661"/>
      <c r="AJ223" s="330"/>
    </row>
    <row r="224" spans="1:36">
      <c r="A224" s="1075" t="s">
        <v>287</v>
      </c>
      <c r="B224" s="1076"/>
      <c r="C224" s="1076"/>
      <c r="D224" s="1076"/>
      <c r="E224" s="1076"/>
      <c r="F224" s="1076"/>
      <c r="G224" s="1076"/>
      <c r="H224" s="1076"/>
      <c r="I224" s="1076"/>
      <c r="J224" s="1077"/>
      <c r="K224" s="148"/>
      <c r="L224" s="231"/>
      <c r="M224" s="231"/>
      <c r="N224" s="231"/>
      <c r="O224" s="231"/>
      <c r="P224" s="231"/>
      <c r="Q224" s="621">
        <f t="shared" si="17"/>
        <v>0</v>
      </c>
      <c r="R224" s="231"/>
      <c r="S224" s="231"/>
      <c r="T224" s="231"/>
      <c r="U224" s="231"/>
      <c r="V224" s="231"/>
      <c r="W224" s="621">
        <f t="shared" si="18"/>
        <v>0</v>
      </c>
      <c r="X224" s="231"/>
      <c r="Y224" s="231"/>
      <c r="Z224" s="231"/>
      <c r="AA224" s="231"/>
      <c r="AB224" s="231"/>
      <c r="AC224" s="598"/>
      <c r="AD224" s="231"/>
      <c r="AE224" s="231"/>
      <c r="AF224" s="231"/>
      <c r="AG224" s="231"/>
      <c r="AH224" s="250"/>
      <c r="AI224" s="661"/>
      <c r="AJ224" s="330"/>
    </row>
    <row r="225" spans="1:36">
      <c r="A225" s="4" t="s">
        <v>484</v>
      </c>
      <c r="B225" s="461"/>
      <c r="C225" s="461"/>
      <c r="D225" s="461"/>
      <c r="E225" s="243"/>
      <c r="F225" s="544"/>
      <c r="G225" s="545"/>
      <c r="H225" s="245"/>
      <c r="I225" s="244"/>
      <c r="J225" s="243"/>
      <c r="K225" s="148"/>
      <c r="L225" s="231"/>
      <c r="M225" s="231"/>
      <c r="N225" s="231"/>
      <c r="O225" s="231"/>
      <c r="P225" s="231"/>
      <c r="Q225" s="621">
        <f t="shared" si="17"/>
        <v>0</v>
      </c>
      <c r="R225" s="231"/>
      <c r="S225" s="231"/>
      <c r="T225" s="231"/>
      <c r="U225" s="231"/>
      <c r="V225" s="231"/>
      <c r="W225" s="621">
        <f t="shared" si="18"/>
        <v>0</v>
      </c>
      <c r="X225" s="231"/>
      <c r="Y225" s="231"/>
      <c r="Z225" s="231"/>
      <c r="AA225" s="231"/>
      <c r="AB225" s="231"/>
      <c r="AC225" s="598"/>
      <c r="AD225" s="231"/>
      <c r="AE225" s="231"/>
      <c r="AF225" s="231"/>
      <c r="AG225" s="231"/>
      <c r="AH225" s="250"/>
      <c r="AI225" s="661"/>
      <c r="AJ225" s="330"/>
    </row>
    <row r="226" spans="1:36">
      <c r="A226" s="6" t="s">
        <v>485</v>
      </c>
      <c r="B226" s="461"/>
      <c r="C226" s="461"/>
      <c r="D226" s="461"/>
      <c r="E226" s="243"/>
      <c r="F226" s="544"/>
      <c r="G226" s="545"/>
      <c r="H226" s="245"/>
      <c r="I226" s="244"/>
      <c r="J226" s="243"/>
      <c r="K226" s="148"/>
      <c r="L226" s="231"/>
      <c r="M226" s="231"/>
      <c r="N226" s="231"/>
      <c r="O226" s="231"/>
      <c r="P226" s="231"/>
      <c r="Q226" s="621">
        <f t="shared" si="17"/>
        <v>0</v>
      </c>
      <c r="R226" s="231"/>
      <c r="S226" s="231"/>
      <c r="T226" s="231"/>
      <c r="U226" s="231"/>
      <c r="V226" s="231"/>
      <c r="W226" s="621">
        <f t="shared" si="18"/>
        <v>0</v>
      </c>
      <c r="X226" s="231"/>
      <c r="Y226" s="231"/>
      <c r="Z226" s="231"/>
      <c r="AA226" s="231"/>
      <c r="AB226" s="231"/>
      <c r="AC226" s="598"/>
      <c r="AD226" s="231"/>
      <c r="AE226" s="231"/>
      <c r="AF226" s="231"/>
      <c r="AG226" s="231"/>
      <c r="AH226" s="250"/>
      <c r="AI226" s="661"/>
      <c r="AJ226" s="330"/>
    </row>
    <row r="227" spans="1:36">
      <c r="A227" s="6" t="s">
        <v>486</v>
      </c>
      <c r="B227" s="481"/>
      <c r="C227" s="481"/>
      <c r="D227" s="481"/>
      <c r="E227" s="148"/>
      <c r="F227" s="531"/>
      <c r="G227" s="532"/>
      <c r="H227" s="232"/>
      <c r="I227" s="149"/>
      <c r="J227" s="148"/>
      <c r="K227" s="148"/>
      <c r="L227" s="231"/>
      <c r="M227" s="231"/>
      <c r="N227" s="231"/>
      <c r="O227" s="231"/>
      <c r="P227" s="231"/>
      <c r="Q227" s="621">
        <f t="shared" si="17"/>
        <v>0</v>
      </c>
      <c r="R227" s="231"/>
      <c r="S227" s="231"/>
      <c r="T227" s="231"/>
      <c r="U227" s="231"/>
      <c r="V227" s="231"/>
      <c r="W227" s="621">
        <f t="shared" si="18"/>
        <v>0</v>
      </c>
      <c r="X227" s="231"/>
      <c r="Y227" s="231"/>
      <c r="Z227" s="231"/>
      <c r="AA227" s="231"/>
      <c r="AB227" s="231"/>
      <c r="AC227" s="598"/>
      <c r="AD227" s="231"/>
      <c r="AE227" s="231"/>
      <c r="AF227" s="231"/>
      <c r="AG227" s="231"/>
      <c r="AH227" s="250"/>
      <c r="AI227" s="661"/>
      <c r="AJ227" s="330"/>
    </row>
    <row r="228" spans="1:36" ht="51">
      <c r="A228" s="172" t="s">
        <v>487</v>
      </c>
      <c r="B228" s="246"/>
      <c r="C228" s="246"/>
      <c r="D228" s="246"/>
      <c r="E228" s="246"/>
      <c r="F228" s="546"/>
      <c r="G228" s="546"/>
      <c r="H228" s="246"/>
      <c r="I228" s="246"/>
      <c r="J228" s="246"/>
      <c r="K228" s="148"/>
      <c r="L228" s="231"/>
      <c r="M228" s="231"/>
      <c r="N228" s="231"/>
      <c r="O228" s="231"/>
      <c r="P228" s="231"/>
      <c r="Q228" s="621">
        <f t="shared" si="17"/>
        <v>0</v>
      </c>
      <c r="R228" s="231"/>
      <c r="S228" s="231"/>
      <c r="T228" s="231"/>
      <c r="U228" s="231"/>
      <c r="V228" s="231"/>
      <c r="W228" s="621">
        <f t="shared" si="18"/>
        <v>0</v>
      </c>
      <c r="X228" s="231"/>
      <c r="Y228" s="231"/>
      <c r="Z228" s="231"/>
      <c r="AA228" s="231"/>
      <c r="AB228" s="231"/>
      <c r="AC228" s="598"/>
      <c r="AD228" s="231"/>
      <c r="AE228" s="231"/>
      <c r="AF228" s="231"/>
      <c r="AG228" s="231"/>
      <c r="AH228" s="250"/>
      <c r="AI228" s="661"/>
      <c r="AJ228" s="330"/>
    </row>
    <row r="229" spans="1:36">
      <c r="A229" s="6" t="s">
        <v>488</v>
      </c>
      <c r="B229" s="6"/>
      <c r="C229" s="6"/>
      <c r="D229" s="6"/>
      <c r="E229" s="6"/>
      <c r="F229" s="527"/>
      <c r="G229" s="527"/>
      <c r="H229" s="6"/>
      <c r="I229" s="6"/>
      <c r="J229" s="6"/>
      <c r="K229" s="6"/>
      <c r="L229" s="92"/>
      <c r="M229" s="92"/>
      <c r="N229" s="92"/>
      <c r="O229" s="92"/>
      <c r="P229" s="92"/>
      <c r="Q229" s="621">
        <f t="shared" si="17"/>
        <v>0</v>
      </c>
      <c r="R229" s="92"/>
      <c r="S229" s="92"/>
      <c r="T229" s="92"/>
      <c r="U229" s="92"/>
      <c r="V229" s="92"/>
      <c r="W229" s="621">
        <f t="shared" si="18"/>
        <v>0</v>
      </c>
      <c r="X229" s="92"/>
      <c r="Y229" s="92"/>
      <c r="Z229" s="92"/>
      <c r="AA229" s="92"/>
      <c r="AB229" s="92"/>
      <c r="AC229" s="598"/>
      <c r="AD229" s="92"/>
      <c r="AE229" s="92"/>
      <c r="AF229" s="92"/>
      <c r="AG229" s="92"/>
      <c r="AH229" s="338"/>
      <c r="AI229" s="661"/>
      <c r="AJ229" s="330"/>
    </row>
    <row r="230" spans="1:36" ht="38.25">
      <c r="A230" s="247" t="s">
        <v>489</v>
      </c>
      <c r="B230" s="149"/>
      <c r="C230" s="148"/>
      <c r="D230" s="149"/>
      <c r="E230" s="148"/>
      <c r="F230" s="531"/>
      <c r="G230" s="531"/>
      <c r="H230" s="148"/>
      <c r="I230" s="149"/>
      <c r="J230" s="151"/>
      <c r="K230" s="148"/>
      <c r="L230" s="231"/>
      <c r="M230" s="231"/>
      <c r="N230" s="231"/>
      <c r="O230" s="231"/>
      <c r="P230" s="231"/>
      <c r="Q230" s="621">
        <f t="shared" si="17"/>
        <v>0</v>
      </c>
      <c r="R230" s="248"/>
      <c r="S230" s="231"/>
      <c r="T230" s="231"/>
      <c r="U230" s="231"/>
      <c r="V230" s="231"/>
      <c r="W230" s="621">
        <f t="shared" si="18"/>
        <v>0</v>
      </c>
      <c r="X230" s="231"/>
      <c r="Y230" s="231"/>
      <c r="Z230" s="231"/>
      <c r="AA230" s="231"/>
      <c r="AB230" s="231"/>
      <c r="AC230" s="598"/>
      <c r="AD230" s="231"/>
      <c r="AE230" s="231"/>
      <c r="AF230" s="231"/>
      <c r="AG230" s="231"/>
      <c r="AH230" s="250"/>
      <c r="AI230" s="661"/>
      <c r="AJ230" s="330"/>
    </row>
    <row r="231" spans="1:36" ht="370.5">
      <c r="A231" s="4" t="s">
        <v>490</v>
      </c>
      <c r="B231" s="149"/>
      <c r="C231" s="151"/>
      <c r="D231" s="149" t="s">
        <v>491</v>
      </c>
      <c r="E231" s="249" t="s">
        <v>492</v>
      </c>
      <c r="F231" s="507" t="s">
        <v>80</v>
      </c>
      <c r="G231" s="531"/>
      <c r="H231" s="141">
        <v>7</v>
      </c>
      <c r="I231" s="149"/>
      <c r="J231" s="151"/>
      <c r="K231" s="148"/>
      <c r="L231" s="374">
        <v>4995</v>
      </c>
      <c r="M231" s="231"/>
      <c r="N231" s="231"/>
      <c r="O231" s="231"/>
      <c r="P231" s="231"/>
      <c r="Q231" s="621">
        <f t="shared" si="17"/>
        <v>4995</v>
      </c>
      <c r="R231" s="231">
        <v>0</v>
      </c>
      <c r="S231" s="231"/>
      <c r="T231" s="231"/>
      <c r="U231" s="231"/>
      <c r="V231" s="231"/>
      <c r="W231" s="621">
        <f t="shared" si="18"/>
        <v>0</v>
      </c>
      <c r="X231" s="231">
        <v>0</v>
      </c>
      <c r="Y231" s="231"/>
      <c r="Z231" s="231"/>
      <c r="AA231" s="231"/>
      <c r="AB231" s="231"/>
      <c r="AC231" s="598">
        <f t="shared" ref="AC231:AC264" si="19">SUM(X231:AB231)</f>
        <v>0</v>
      </c>
      <c r="AD231" s="231">
        <v>0</v>
      </c>
      <c r="AE231" s="231"/>
      <c r="AF231" s="231"/>
      <c r="AG231" s="231"/>
      <c r="AH231" s="250"/>
      <c r="AI231" s="661"/>
      <c r="AJ231" s="330"/>
    </row>
    <row r="232" spans="1:36" ht="38.25">
      <c r="A232" s="4" t="s">
        <v>493</v>
      </c>
      <c r="B232" s="149"/>
      <c r="C232" s="148"/>
      <c r="D232" s="149" t="s">
        <v>491</v>
      </c>
      <c r="E232" s="148"/>
      <c r="F232" s="531"/>
      <c r="G232" s="531"/>
      <c r="H232" s="141">
        <v>7</v>
      </c>
      <c r="I232" s="149"/>
      <c r="J232" s="151"/>
      <c r="K232" s="148"/>
      <c r="L232" s="231">
        <v>0</v>
      </c>
      <c r="M232" s="231"/>
      <c r="N232" s="231"/>
      <c r="O232" s="231"/>
      <c r="P232" s="231"/>
      <c r="Q232" s="621">
        <f t="shared" si="17"/>
        <v>0</v>
      </c>
      <c r="R232" s="231">
        <v>0</v>
      </c>
      <c r="S232" s="231"/>
      <c r="T232" s="231"/>
      <c r="U232" s="231"/>
      <c r="V232" s="231"/>
      <c r="W232" s="621">
        <f t="shared" si="18"/>
        <v>0</v>
      </c>
      <c r="X232" s="231">
        <v>0</v>
      </c>
      <c r="Y232" s="231"/>
      <c r="Z232" s="231"/>
      <c r="AA232" s="231"/>
      <c r="AB232" s="231"/>
      <c r="AC232" s="598">
        <f t="shared" si="19"/>
        <v>0</v>
      </c>
      <c r="AD232" s="231">
        <v>0</v>
      </c>
      <c r="AE232" s="231"/>
      <c r="AF232" s="231"/>
      <c r="AG232" s="231"/>
      <c r="AH232" s="250"/>
      <c r="AI232" s="661"/>
      <c r="AJ232" s="330"/>
    </row>
    <row r="233" spans="1:36" ht="318.75">
      <c r="A233" s="4" t="s">
        <v>494</v>
      </c>
      <c r="B233" s="149"/>
      <c r="C233" s="148"/>
      <c r="D233" s="149" t="s">
        <v>491</v>
      </c>
      <c r="E233" s="4" t="s">
        <v>495</v>
      </c>
      <c r="F233" s="507" t="s">
        <v>80</v>
      </c>
      <c r="G233" s="531"/>
      <c r="H233" s="148"/>
      <c r="I233" s="149"/>
      <c r="J233" s="151"/>
      <c r="K233" s="148"/>
      <c r="L233" s="375">
        <v>4371</v>
      </c>
      <c r="M233" s="251"/>
      <c r="N233" s="251"/>
      <c r="O233" s="251"/>
      <c r="P233" s="251"/>
      <c r="Q233" s="621">
        <f t="shared" si="17"/>
        <v>4371</v>
      </c>
      <c r="R233" s="231">
        <v>0</v>
      </c>
      <c r="S233" s="231"/>
      <c r="T233" s="231"/>
      <c r="U233" s="231"/>
      <c r="V233" s="231"/>
      <c r="W233" s="621">
        <f t="shared" si="18"/>
        <v>0</v>
      </c>
      <c r="X233" s="231">
        <v>0</v>
      </c>
      <c r="Y233" s="231"/>
      <c r="Z233" s="231"/>
      <c r="AA233" s="231"/>
      <c r="AB233" s="231"/>
      <c r="AC233" s="598">
        <f t="shared" si="19"/>
        <v>0</v>
      </c>
      <c r="AD233" s="231">
        <v>0</v>
      </c>
      <c r="AE233" s="231"/>
      <c r="AF233" s="231"/>
      <c r="AG233" s="231"/>
      <c r="AH233" s="250"/>
      <c r="AI233" s="661"/>
      <c r="AJ233" s="330"/>
    </row>
    <row r="234" spans="1:36" ht="178.5">
      <c r="A234" s="4" t="s">
        <v>496</v>
      </c>
      <c r="B234" s="149"/>
      <c r="C234" s="148"/>
      <c r="D234" s="149"/>
      <c r="E234" s="4" t="s">
        <v>497</v>
      </c>
      <c r="F234" s="507" t="s">
        <v>80</v>
      </c>
      <c r="G234" s="531"/>
      <c r="H234" s="141">
        <v>7</v>
      </c>
      <c r="I234" s="149"/>
      <c r="J234" s="151"/>
      <c r="K234" s="148"/>
      <c r="L234" s="251">
        <v>0</v>
      </c>
      <c r="M234" s="251"/>
      <c r="N234" s="251"/>
      <c r="O234" s="251"/>
      <c r="P234" s="251"/>
      <c r="Q234" s="621">
        <f t="shared" si="17"/>
        <v>0</v>
      </c>
      <c r="R234" s="251">
        <v>0</v>
      </c>
      <c r="S234" s="231"/>
      <c r="T234" s="231"/>
      <c r="U234" s="231"/>
      <c r="V234" s="231"/>
      <c r="W234" s="621">
        <f t="shared" si="18"/>
        <v>0</v>
      </c>
      <c r="X234" s="248">
        <v>0</v>
      </c>
      <c r="Y234" s="251"/>
      <c r="Z234" s="251"/>
      <c r="AA234" s="251"/>
      <c r="AB234" s="251"/>
      <c r="AC234" s="598">
        <f t="shared" si="19"/>
        <v>0</v>
      </c>
      <c r="AD234" s="248">
        <v>0</v>
      </c>
      <c r="AE234" s="231"/>
      <c r="AF234" s="231"/>
      <c r="AG234" s="231"/>
      <c r="AH234" s="250"/>
      <c r="AI234" s="661"/>
      <c r="AJ234" s="330"/>
    </row>
    <row r="235" spans="1:36" ht="409.5">
      <c r="A235" s="4" t="s">
        <v>570</v>
      </c>
      <c r="B235" s="149"/>
      <c r="C235" s="148"/>
      <c r="D235" s="149"/>
      <c r="E235" s="4" t="s">
        <v>498</v>
      </c>
      <c r="F235" s="531"/>
      <c r="G235" s="531"/>
      <c r="H235" s="148"/>
      <c r="I235" s="149"/>
      <c r="J235" s="151"/>
      <c r="K235" s="148"/>
      <c r="L235" s="252"/>
      <c r="M235" s="251"/>
      <c r="N235" s="251"/>
      <c r="O235" s="251"/>
      <c r="P235" s="251"/>
      <c r="Q235" s="621">
        <f t="shared" si="17"/>
        <v>0</v>
      </c>
      <c r="R235" s="253"/>
      <c r="S235" s="252"/>
      <c r="T235" s="252"/>
      <c r="U235" s="254"/>
      <c r="V235" s="252"/>
      <c r="W235" s="621">
        <f>SUM(S235:V235)</f>
        <v>0</v>
      </c>
      <c r="X235" s="254"/>
      <c r="Y235" s="252"/>
      <c r="Z235" s="252"/>
      <c r="AA235" s="252"/>
      <c r="AB235" s="252"/>
      <c r="AC235" s="598">
        <f>SUM(X235:AB235)</f>
        <v>0</v>
      </c>
      <c r="AD235" s="255">
        <v>0</v>
      </c>
      <c r="AE235" s="252"/>
      <c r="AF235" s="252"/>
      <c r="AG235" s="252"/>
      <c r="AH235" s="339"/>
      <c r="AI235" s="661"/>
      <c r="AJ235" s="330"/>
    </row>
    <row r="236" spans="1:36">
      <c r="A236" s="4" t="s">
        <v>499</v>
      </c>
      <c r="B236" s="149"/>
      <c r="C236" s="148"/>
      <c r="D236" s="149"/>
      <c r="E236" s="148"/>
      <c r="F236" s="531"/>
      <c r="G236" s="531"/>
      <c r="H236" s="148"/>
      <c r="I236" s="149"/>
      <c r="J236" s="151"/>
      <c r="K236" s="148"/>
      <c r="L236" s="251"/>
      <c r="M236" s="251"/>
      <c r="N236" s="251"/>
      <c r="O236" s="251"/>
      <c r="P236" s="251"/>
      <c r="Q236" s="621">
        <f t="shared" si="17"/>
        <v>0</v>
      </c>
      <c r="R236" s="251"/>
      <c r="S236" s="231"/>
      <c r="T236" s="231"/>
      <c r="U236" s="231"/>
      <c r="V236" s="231"/>
      <c r="W236" s="621">
        <f t="shared" si="18"/>
        <v>0</v>
      </c>
      <c r="X236" s="248"/>
      <c r="Y236" s="251"/>
      <c r="Z236" s="251"/>
      <c r="AA236" s="251"/>
      <c r="AB236" s="251"/>
      <c r="AC236" s="598">
        <f t="shared" si="19"/>
        <v>0</v>
      </c>
      <c r="AD236" s="248"/>
      <c r="AE236" s="231"/>
      <c r="AF236" s="231"/>
      <c r="AG236" s="231"/>
      <c r="AH236" s="250"/>
      <c r="AI236" s="661"/>
      <c r="AJ236" s="330"/>
    </row>
    <row r="237" spans="1:36" ht="25.5">
      <c r="A237" s="247" t="s">
        <v>500</v>
      </c>
      <c r="B237" s="149"/>
      <c r="C237" s="148"/>
      <c r="D237" s="149"/>
      <c r="E237" s="148"/>
      <c r="F237" s="531"/>
      <c r="G237" s="531"/>
      <c r="H237" s="148"/>
      <c r="I237" s="149"/>
      <c r="J237" s="151"/>
      <c r="K237" s="148"/>
      <c r="L237" s="251"/>
      <c r="M237" s="251"/>
      <c r="N237" s="251"/>
      <c r="O237" s="251"/>
      <c r="P237" s="251"/>
      <c r="Q237" s="621">
        <f t="shared" si="17"/>
        <v>0</v>
      </c>
      <c r="R237" s="251"/>
      <c r="S237" s="231"/>
      <c r="T237" s="231"/>
      <c r="U237" s="231"/>
      <c r="V237" s="231"/>
      <c r="W237" s="621">
        <f t="shared" si="18"/>
        <v>0</v>
      </c>
      <c r="X237" s="248"/>
      <c r="Y237" s="251"/>
      <c r="Z237" s="251"/>
      <c r="AA237" s="251"/>
      <c r="AB237" s="251"/>
      <c r="AC237" s="598">
        <f t="shared" si="19"/>
        <v>0</v>
      </c>
      <c r="AD237" s="248"/>
      <c r="AE237" s="231"/>
      <c r="AF237" s="231"/>
      <c r="AG237" s="231"/>
      <c r="AH237" s="250"/>
      <c r="AI237" s="661"/>
      <c r="AJ237" s="330"/>
    </row>
    <row r="238" spans="1:36" ht="102">
      <c r="A238" s="4" t="s">
        <v>501</v>
      </c>
      <c r="B238" s="149"/>
      <c r="C238" s="148"/>
      <c r="D238" s="149"/>
      <c r="E238" s="4" t="s">
        <v>502</v>
      </c>
      <c r="F238" s="507" t="s">
        <v>80</v>
      </c>
      <c r="G238" s="531"/>
      <c r="H238" s="141">
        <v>7</v>
      </c>
      <c r="I238" s="149"/>
      <c r="J238" s="151"/>
      <c r="K238" s="148"/>
      <c r="L238" s="251"/>
      <c r="M238" s="251"/>
      <c r="N238" s="252">
        <v>0</v>
      </c>
      <c r="O238" s="251"/>
      <c r="P238" s="251"/>
      <c r="Q238" s="621">
        <f t="shared" si="17"/>
        <v>0</v>
      </c>
      <c r="R238" s="252">
        <v>0</v>
      </c>
      <c r="S238" s="231"/>
      <c r="T238" s="231"/>
      <c r="U238" s="231"/>
      <c r="V238" s="231"/>
      <c r="W238" s="621">
        <f t="shared" si="18"/>
        <v>0</v>
      </c>
      <c r="X238" s="248">
        <v>0</v>
      </c>
      <c r="Y238" s="251"/>
      <c r="Z238" s="251"/>
      <c r="AA238" s="251"/>
      <c r="AB238" s="251"/>
      <c r="AC238" s="598">
        <f t="shared" si="19"/>
        <v>0</v>
      </c>
      <c r="AD238" s="253"/>
      <c r="AE238" s="231"/>
      <c r="AF238" s="231"/>
      <c r="AG238" s="231"/>
      <c r="AH238" s="250"/>
      <c r="AI238" s="661"/>
      <c r="AJ238" s="330"/>
    </row>
    <row r="239" spans="1:36" ht="267.75">
      <c r="A239" s="4" t="s">
        <v>503</v>
      </c>
      <c r="B239" s="149"/>
      <c r="C239" s="148"/>
      <c r="D239" s="149"/>
      <c r="E239" s="4" t="s">
        <v>504</v>
      </c>
      <c r="F239" s="507" t="s">
        <v>80</v>
      </c>
      <c r="G239" s="531"/>
      <c r="H239" s="141">
        <v>7</v>
      </c>
      <c r="I239" s="149"/>
      <c r="J239" s="151"/>
      <c r="K239" s="148"/>
      <c r="L239" s="251"/>
      <c r="M239" s="251"/>
      <c r="N239" s="251"/>
      <c r="O239" s="251"/>
      <c r="P239" s="251"/>
      <c r="Q239" s="621">
        <f t="shared" si="17"/>
        <v>0</v>
      </c>
      <c r="R239" s="251"/>
      <c r="S239" s="231"/>
      <c r="T239" s="231"/>
      <c r="U239" s="231"/>
      <c r="V239" s="231"/>
      <c r="W239" s="621">
        <f t="shared" si="18"/>
        <v>0</v>
      </c>
      <c r="X239" s="248"/>
      <c r="Y239" s="251"/>
      <c r="Z239" s="251"/>
      <c r="AA239" s="251"/>
      <c r="AB239" s="251"/>
      <c r="AC239" s="598">
        <f t="shared" si="19"/>
        <v>0</v>
      </c>
      <c r="AD239" s="248"/>
      <c r="AE239" s="231"/>
      <c r="AF239" s="231"/>
      <c r="AG239" s="231"/>
      <c r="AH239" s="250"/>
      <c r="AI239" s="661"/>
      <c r="AJ239" s="330"/>
    </row>
    <row r="240" spans="1:36" ht="51">
      <c r="A240" s="4" t="s">
        <v>505</v>
      </c>
      <c r="B240" s="149"/>
      <c r="C240" s="148"/>
      <c r="D240" s="149"/>
      <c r="E240" s="148"/>
      <c r="F240" s="507" t="s">
        <v>80</v>
      </c>
      <c r="G240" s="531"/>
      <c r="H240" s="148"/>
      <c r="I240" s="149"/>
      <c r="J240" s="151"/>
      <c r="K240" s="148"/>
      <c r="L240" s="376">
        <v>15000</v>
      </c>
      <c r="M240" s="251"/>
      <c r="N240" s="251"/>
      <c r="O240" s="251"/>
      <c r="P240" s="251"/>
      <c r="Q240" s="621">
        <f t="shared" si="17"/>
        <v>15000</v>
      </c>
      <c r="R240" s="376">
        <v>15000</v>
      </c>
      <c r="S240" s="231"/>
      <c r="T240" s="231"/>
      <c r="U240" s="231"/>
      <c r="V240" s="231"/>
      <c r="W240" s="621">
        <f t="shared" si="18"/>
        <v>15000</v>
      </c>
      <c r="X240" s="382">
        <v>15000</v>
      </c>
      <c r="Y240" s="251"/>
      <c r="Z240" s="251"/>
      <c r="AA240" s="251"/>
      <c r="AB240" s="251"/>
      <c r="AC240" s="598">
        <f t="shared" si="19"/>
        <v>15000</v>
      </c>
      <c r="AD240" s="382">
        <v>15000</v>
      </c>
      <c r="AE240" s="231"/>
      <c r="AF240" s="231"/>
      <c r="AG240" s="231"/>
      <c r="AH240" s="250"/>
      <c r="AI240" s="666">
        <f>SUM(AD240:AH240)</f>
        <v>15000</v>
      </c>
      <c r="AJ240" s="330"/>
    </row>
    <row r="241" spans="1:36" ht="25.5">
      <c r="A241" s="4" t="s">
        <v>506</v>
      </c>
      <c r="B241" s="149"/>
      <c r="C241" s="148"/>
      <c r="D241" s="149"/>
      <c r="E241" s="148"/>
      <c r="F241" s="507"/>
      <c r="G241" s="531"/>
      <c r="H241" s="148"/>
      <c r="I241" s="149"/>
      <c r="J241" s="151"/>
      <c r="K241" s="148"/>
      <c r="L241" s="251"/>
      <c r="M241" s="251"/>
      <c r="N241" s="251"/>
      <c r="O241" s="251"/>
      <c r="P241" s="251"/>
      <c r="Q241" s="621">
        <f t="shared" si="17"/>
        <v>0</v>
      </c>
      <c r="R241" s="251"/>
      <c r="S241" s="231"/>
      <c r="T241" s="231"/>
      <c r="U241" s="231"/>
      <c r="V241" s="231"/>
      <c r="W241" s="621">
        <f t="shared" si="18"/>
        <v>0</v>
      </c>
      <c r="X241" s="248"/>
      <c r="Y241" s="251"/>
      <c r="Z241" s="251"/>
      <c r="AA241" s="251"/>
      <c r="AB241" s="251"/>
      <c r="AC241" s="598">
        <f t="shared" si="19"/>
        <v>0</v>
      </c>
      <c r="AD241" s="248"/>
      <c r="AE241" s="231"/>
      <c r="AF241" s="231"/>
      <c r="AG241" s="231"/>
      <c r="AH241" s="250"/>
      <c r="AI241" s="661"/>
      <c r="AJ241" s="330"/>
    </row>
    <row r="242" spans="1:36" ht="191.25">
      <c r="A242" s="4" t="s">
        <v>507</v>
      </c>
      <c r="B242" s="149"/>
      <c r="C242" s="148"/>
      <c r="D242" s="149"/>
      <c r="E242" s="4" t="s">
        <v>508</v>
      </c>
      <c r="F242" s="507" t="s">
        <v>80</v>
      </c>
      <c r="G242" s="515" t="s">
        <v>509</v>
      </c>
      <c r="H242" s="148"/>
      <c r="I242" s="149"/>
      <c r="J242" s="151"/>
      <c r="K242" s="148"/>
      <c r="L242" s="251"/>
      <c r="M242" s="251"/>
      <c r="N242" s="251"/>
      <c r="O242" s="251"/>
      <c r="P242" s="251"/>
      <c r="Q242" s="621">
        <f t="shared" si="17"/>
        <v>0</v>
      </c>
      <c r="R242" s="251"/>
      <c r="S242" s="231"/>
      <c r="T242" s="231"/>
      <c r="U242" s="231"/>
      <c r="V242" s="231"/>
      <c r="W242" s="621">
        <f t="shared" si="18"/>
        <v>0</v>
      </c>
      <c r="X242" s="248"/>
      <c r="Y242" s="251"/>
      <c r="Z242" s="251"/>
      <c r="AA242" s="251"/>
      <c r="AB242" s="251"/>
      <c r="AC242" s="598">
        <f t="shared" si="19"/>
        <v>0</v>
      </c>
      <c r="AD242" s="248"/>
      <c r="AE242" s="231"/>
      <c r="AF242" s="231"/>
      <c r="AG242" s="231"/>
      <c r="AH242" s="250"/>
      <c r="AI242" s="661"/>
      <c r="AJ242" s="330"/>
    </row>
    <row r="243" spans="1:36" ht="102">
      <c r="A243" s="93" t="s">
        <v>510</v>
      </c>
      <c r="B243" s="149"/>
      <c r="C243" s="148"/>
      <c r="D243" s="149"/>
      <c r="E243" s="4" t="s">
        <v>511</v>
      </c>
      <c r="F243" s="507" t="s">
        <v>80</v>
      </c>
      <c r="G243" s="531"/>
      <c r="H243" s="148"/>
      <c r="I243" s="149"/>
      <c r="J243" s="151"/>
      <c r="K243" s="148"/>
      <c r="L243" s="251"/>
      <c r="M243" s="251"/>
      <c r="N243" s="251"/>
      <c r="O243" s="251"/>
      <c r="P243" s="251"/>
      <c r="Q243" s="621">
        <f t="shared" si="17"/>
        <v>0</v>
      </c>
      <c r="R243" s="251"/>
      <c r="S243" s="231"/>
      <c r="T243" s="231"/>
      <c r="U243" s="231"/>
      <c r="V243" s="231"/>
      <c r="W243" s="621">
        <f t="shared" si="18"/>
        <v>0</v>
      </c>
      <c r="X243" s="248"/>
      <c r="Y243" s="251"/>
      <c r="Z243" s="251"/>
      <c r="AA243" s="251"/>
      <c r="AB243" s="251"/>
      <c r="AC243" s="598">
        <f t="shared" si="19"/>
        <v>0</v>
      </c>
      <c r="AD243" s="248"/>
      <c r="AE243" s="231"/>
      <c r="AF243" s="231"/>
      <c r="AG243" s="231"/>
      <c r="AH243" s="250"/>
      <c r="AI243" s="661"/>
      <c r="AJ243" s="330"/>
    </row>
    <row r="244" spans="1:36" ht="102">
      <c r="A244" s="93" t="s">
        <v>512</v>
      </c>
      <c r="B244" s="149"/>
      <c r="C244" s="148"/>
      <c r="D244" s="149"/>
      <c r="E244" s="4" t="s">
        <v>513</v>
      </c>
      <c r="F244" s="507" t="s">
        <v>514</v>
      </c>
      <c r="G244" s="531"/>
      <c r="H244" s="148"/>
      <c r="I244" s="149"/>
      <c r="J244" s="151"/>
      <c r="K244" s="148"/>
      <c r="L244" s="251"/>
      <c r="M244" s="251"/>
      <c r="N244" s="251"/>
      <c r="O244" s="251"/>
      <c r="P244" s="251"/>
      <c r="Q244" s="621">
        <f t="shared" si="17"/>
        <v>0</v>
      </c>
      <c r="R244" s="251"/>
      <c r="S244" s="231"/>
      <c r="T244" s="231"/>
      <c r="U244" s="231"/>
      <c r="V244" s="231"/>
      <c r="W244" s="621">
        <f t="shared" si="18"/>
        <v>0</v>
      </c>
      <c r="X244" s="248"/>
      <c r="Y244" s="251"/>
      <c r="Z244" s="251"/>
      <c r="AA244" s="251"/>
      <c r="AB244" s="251"/>
      <c r="AC244" s="598">
        <f t="shared" si="19"/>
        <v>0</v>
      </c>
      <c r="AD244" s="248"/>
      <c r="AE244" s="231"/>
      <c r="AF244" s="231"/>
      <c r="AG244" s="231"/>
      <c r="AH244" s="250"/>
      <c r="AI244" s="661"/>
      <c r="AJ244" s="330"/>
    </row>
    <row r="245" spans="1:36">
      <c r="A245" s="172" t="s">
        <v>515</v>
      </c>
      <c r="B245" s="149"/>
      <c r="C245" s="148"/>
      <c r="D245" s="149"/>
      <c r="E245" s="4"/>
      <c r="F245" s="507"/>
      <c r="G245" s="531"/>
      <c r="H245" s="148"/>
      <c r="I245" s="149"/>
      <c r="J245" s="151"/>
      <c r="K245" s="148"/>
      <c r="L245" s="251"/>
      <c r="M245" s="251"/>
      <c r="N245" s="251"/>
      <c r="O245" s="251"/>
      <c r="P245" s="251"/>
      <c r="Q245" s="621">
        <f t="shared" si="17"/>
        <v>0</v>
      </c>
      <c r="R245" s="251"/>
      <c r="S245" s="231"/>
      <c r="T245" s="231"/>
      <c r="U245" s="231"/>
      <c r="V245" s="231"/>
      <c r="W245" s="621">
        <f t="shared" si="18"/>
        <v>0</v>
      </c>
      <c r="X245" s="248"/>
      <c r="Y245" s="251"/>
      <c r="Z245" s="251"/>
      <c r="AA245" s="251"/>
      <c r="AB245" s="251"/>
      <c r="AC245" s="598">
        <f t="shared" si="19"/>
        <v>0</v>
      </c>
      <c r="AD245" s="248"/>
      <c r="AE245" s="231"/>
      <c r="AF245" s="231"/>
      <c r="AG245" s="231"/>
      <c r="AH245" s="250"/>
      <c r="AI245" s="661"/>
      <c r="AJ245" s="330"/>
    </row>
    <row r="246" spans="1:36" ht="25.5">
      <c r="A246" s="4" t="s">
        <v>516</v>
      </c>
      <c r="B246" s="149"/>
      <c r="C246" s="148"/>
      <c r="D246" s="149"/>
      <c r="E246" s="4"/>
      <c r="F246" s="507"/>
      <c r="G246" s="531"/>
      <c r="H246" s="148"/>
      <c r="I246" s="149"/>
      <c r="J246" s="151"/>
      <c r="K246" s="148"/>
      <c r="L246" s="251"/>
      <c r="M246" s="251"/>
      <c r="N246" s="251"/>
      <c r="O246" s="251"/>
      <c r="P246" s="251"/>
      <c r="Q246" s="621">
        <f t="shared" si="17"/>
        <v>0</v>
      </c>
      <c r="R246" s="251"/>
      <c r="S246" s="231"/>
      <c r="T246" s="231"/>
      <c r="U246" s="231"/>
      <c r="V246" s="231"/>
      <c r="W246" s="621">
        <f t="shared" si="18"/>
        <v>0</v>
      </c>
      <c r="X246" s="248"/>
      <c r="Y246" s="251"/>
      <c r="Z246" s="251"/>
      <c r="AA246" s="251"/>
      <c r="AB246" s="251"/>
      <c r="AC246" s="598">
        <f t="shared" si="19"/>
        <v>0</v>
      </c>
      <c r="AD246" s="248"/>
      <c r="AE246" s="231"/>
      <c r="AF246" s="231"/>
      <c r="AG246" s="231"/>
      <c r="AH246" s="250"/>
      <c r="AI246" s="661"/>
      <c r="AJ246" s="330"/>
    </row>
    <row r="247" spans="1:36" ht="153.75">
      <c r="A247" s="4" t="s">
        <v>517</v>
      </c>
      <c r="B247" s="149"/>
      <c r="C247" s="148"/>
      <c r="D247" s="149"/>
      <c r="E247" s="249" t="s">
        <v>518</v>
      </c>
      <c r="F247" s="507" t="s">
        <v>519</v>
      </c>
      <c r="G247" s="531"/>
      <c r="H247" s="148"/>
      <c r="I247" s="149"/>
      <c r="J247" s="151"/>
      <c r="K247" s="148"/>
      <c r="L247" s="376">
        <v>4950</v>
      </c>
      <c r="M247" s="251"/>
      <c r="N247" s="251"/>
      <c r="O247" s="251"/>
      <c r="P247" s="251"/>
      <c r="Q247" s="621">
        <f t="shared" si="17"/>
        <v>4950</v>
      </c>
      <c r="R247" s="251"/>
      <c r="S247" s="231"/>
      <c r="T247" s="231"/>
      <c r="U247" s="231"/>
      <c r="V247" s="231"/>
      <c r="W247" s="621">
        <f t="shared" si="18"/>
        <v>0</v>
      </c>
      <c r="X247" s="248"/>
      <c r="Y247" s="251"/>
      <c r="Z247" s="251"/>
      <c r="AA247" s="251"/>
      <c r="AB247" s="251"/>
      <c r="AC247" s="598">
        <f t="shared" si="19"/>
        <v>0</v>
      </c>
      <c r="AD247" s="248"/>
      <c r="AE247" s="231"/>
      <c r="AF247" s="231"/>
      <c r="AG247" s="231"/>
      <c r="AH247" s="250"/>
      <c r="AI247" s="661"/>
      <c r="AJ247" s="330"/>
    </row>
    <row r="248" spans="1:36" ht="63.75">
      <c r="A248" s="4" t="s">
        <v>520</v>
      </c>
      <c r="B248" s="149"/>
      <c r="C248" s="148"/>
      <c r="D248" s="149"/>
      <c r="E248" s="4" t="s">
        <v>521</v>
      </c>
      <c r="F248" s="507" t="s">
        <v>80</v>
      </c>
      <c r="G248" s="531"/>
      <c r="H248" s="148"/>
      <c r="I248" s="149"/>
      <c r="J248" s="151"/>
      <c r="K248" s="148"/>
      <c r="L248" s="251"/>
      <c r="M248" s="251"/>
      <c r="N248" s="251"/>
      <c r="O248" s="251"/>
      <c r="P248" s="251"/>
      <c r="Q248" s="621">
        <f t="shared" si="17"/>
        <v>0</v>
      </c>
      <c r="R248" s="378">
        <v>44200</v>
      </c>
      <c r="S248" s="148"/>
      <c r="T248" s="148"/>
      <c r="U248" s="148"/>
      <c r="V248" s="148"/>
      <c r="W248" s="533">
        <f t="shared" si="18"/>
        <v>44200</v>
      </c>
      <c r="X248" s="248"/>
      <c r="Y248" s="251"/>
      <c r="Z248" s="251"/>
      <c r="AA248" s="251"/>
      <c r="AB248" s="251"/>
      <c r="AC248" s="598">
        <f t="shared" si="19"/>
        <v>0</v>
      </c>
      <c r="AD248" s="248"/>
      <c r="AE248" s="231"/>
      <c r="AF248" s="231"/>
      <c r="AG248" s="231"/>
      <c r="AH248" s="250"/>
      <c r="AI248" s="661"/>
      <c r="AJ248" s="330"/>
    </row>
    <row r="249" spans="1:36" ht="25.5">
      <c r="A249" s="4" t="s">
        <v>522</v>
      </c>
      <c r="B249" s="149"/>
      <c r="C249" s="148"/>
      <c r="D249" s="149"/>
      <c r="E249" s="4"/>
      <c r="F249" s="507"/>
      <c r="G249" s="531"/>
      <c r="H249" s="148"/>
      <c r="I249" s="149"/>
      <c r="J249" s="151"/>
      <c r="K249" s="148"/>
      <c r="L249" s="251"/>
      <c r="M249" s="251"/>
      <c r="N249" s="158"/>
      <c r="O249" s="158"/>
      <c r="P249" s="158"/>
      <c r="Q249" s="533">
        <f t="shared" si="17"/>
        <v>0</v>
      </c>
      <c r="R249" s="158"/>
      <c r="S249" s="148"/>
      <c r="T249" s="148"/>
      <c r="U249" s="148"/>
      <c r="V249" s="148"/>
      <c r="W249" s="533">
        <f t="shared" si="18"/>
        <v>0</v>
      </c>
      <c r="X249" s="239"/>
      <c r="Y249" s="158"/>
      <c r="Z249" s="158"/>
      <c r="AA249" s="158"/>
      <c r="AB249" s="158"/>
      <c r="AC249" s="531">
        <f t="shared" si="19"/>
        <v>0</v>
      </c>
      <c r="AD249" s="239"/>
      <c r="AE249" s="148"/>
      <c r="AF249" s="148"/>
      <c r="AG249" s="148"/>
      <c r="AH249" s="151"/>
      <c r="AI249" s="661"/>
      <c r="AJ249" s="330"/>
    </row>
    <row r="250" spans="1:36" ht="89.25">
      <c r="A250" s="4" t="s">
        <v>523</v>
      </c>
      <c r="B250" s="149"/>
      <c r="C250" s="148"/>
      <c r="D250" s="149"/>
      <c r="E250" s="4" t="s">
        <v>524</v>
      </c>
      <c r="F250" s="507"/>
      <c r="G250" s="531"/>
      <c r="H250" s="148"/>
      <c r="I250" s="149"/>
      <c r="J250" s="151"/>
      <c r="K250" s="148"/>
      <c r="L250" s="251"/>
      <c r="M250" s="251"/>
      <c r="N250" s="158"/>
      <c r="O250" s="158"/>
      <c r="P250" s="158"/>
      <c r="Q250" s="533">
        <f t="shared" si="17"/>
        <v>0</v>
      </c>
      <c r="R250" s="158"/>
      <c r="S250" s="148"/>
      <c r="T250" s="148"/>
      <c r="U250" s="148"/>
      <c r="V250" s="148"/>
      <c r="W250" s="533">
        <f t="shared" si="18"/>
        <v>0</v>
      </c>
      <c r="X250" s="239"/>
      <c r="Y250" s="158"/>
      <c r="Z250" s="158"/>
      <c r="AA250" s="158"/>
      <c r="AB250" s="158"/>
      <c r="AC250" s="531">
        <f t="shared" si="19"/>
        <v>0</v>
      </c>
      <c r="AD250" s="239"/>
      <c r="AE250" s="148"/>
      <c r="AF250" s="148"/>
      <c r="AG250" s="148"/>
      <c r="AH250" s="151"/>
      <c r="AI250" s="661"/>
      <c r="AJ250" s="330"/>
    </row>
    <row r="251" spans="1:36" ht="63.75">
      <c r="A251" s="4" t="s">
        <v>525</v>
      </c>
      <c r="B251" s="149"/>
      <c r="C251" s="148"/>
      <c r="D251" s="149"/>
      <c r="E251" s="4" t="s">
        <v>526</v>
      </c>
      <c r="F251" s="507" t="s">
        <v>527</v>
      </c>
      <c r="G251" s="531"/>
      <c r="H251" s="148"/>
      <c r="I251" s="149"/>
      <c r="J251" s="151"/>
      <c r="K251" s="148"/>
      <c r="L251" s="251"/>
      <c r="M251" s="251"/>
      <c r="N251" s="158"/>
      <c r="O251" s="369">
        <v>4900</v>
      </c>
      <c r="P251" s="158"/>
      <c r="Q251" s="533">
        <f t="shared" si="17"/>
        <v>4900</v>
      </c>
      <c r="R251" s="158"/>
      <c r="S251" s="148"/>
      <c r="T251" s="148"/>
      <c r="U251" s="148"/>
      <c r="V251" s="148"/>
      <c r="W251" s="533">
        <f t="shared" si="18"/>
        <v>0</v>
      </c>
      <c r="X251" s="239"/>
      <c r="Y251" s="158"/>
      <c r="Z251" s="158"/>
      <c r="AA251" s="158"/>
      <c r="AB251" s="158"/>
      <c r="AC251" s="531">
        <f t="shared" si="19"/>
        <v>0</v>
      </c>
      <c r="AD251" s="239"/>
      <c r="AE251" s="148"/>
      <c r="AF251" s="148"/>
      <c r="AG251" s="148"/>
      <c r="AH251" s="151"/>
      <c r="AI251" s="661"/>
      <c r="AJ251" s="330"/>
    </row>
    <row r="252" spans="1:36" ht="63.75">
      <c r="A252" s="4" t="s">
        <v>528</v>
      </c>
      <c r="B252" s="149"/>
      <c r="C252" s="148"/>
      <c r="D252" s="149"/>
      <c r="E252" s="4" t="s">
        <v>529</v>
      </c>
      <c r="F252" s="507" t="s">
        <v>530</v>
      </c>
      <c r="G252" s="531"/>
      <c r="H252" s="148"/>
      <c r="I252" s="149"/>
      <c r="J252" s="151"/>
      <c r="K252" s="148"/>
      <c r="L252" s="251"/>
      <c r="M252" s="251"/>
      <c r="N252" s="158"/>
      <c r="O252" s="377">
        <v>15000</v>
      </c>
      <c r="P252" s="158"/>
      <c r="Q252" s="533">
        <f t="shared" si="17"/>
        <v>15000</v>
      </c>
      <c r="R252" s="158"/>
      <c r="S252" s="148"/>
      <c r="T252" s="148"/>
      <c r="U252" s="148"/>
      <c r="V252" s="148"/>
      <c r="W252" s="533">
        <f t="shared" si="18"/>
        <v>0</v>
      </c>
      <c r="X252" s="239"/>
      <c r="Y252" s="158"/>
      <c r="Z252" s="158"/>
      <c r="AA252" s="158"/>
      <c r="AB252" s="158"/>
      <c r="AC252" s="531">
        <f t="shared" si="19"/>
        <v>0</v>
      </c>
      <c r="AD252" s="239"/>
      <c r="AE252" s="148"/>
      <c r="AF252" s="148"/>
      <c r="AG252" s="148"/>
      <c r="AH252" s="151"/>
      <c r="AI252" s="661"/>
      <c r="AJ252" s="330"/>
    </row>
    <row r="253" spans="1:36">
      <c r="A253" s="4" t="s">
        <v>531</v>
      </c>
      <c r="B253" s="149"/>
      <c r="C253" s="148"/>
      <c r="D253" s="149"/>
      <c r="E253" s="4"/>
      <c r="F253" s="507"/>
      <c r="G253" s="531"/>
      <c r="H253" s="148"/>
      <c r="I253" s="149"/>
      <c r="J253" s="151"/>
      <c r="K253" s="148"/>
      <c r="L253" s="251"/>
      <c r="M253" s="251"/>
      <c r="N253" s="158"/>
      <c r="O253" s="158"/>
      <c r="P253" s="158"/>
      <c r="Q253" s="533">
        <f t="shared" si="17"/>
        <v>0</v>
      </c>
      <c r="R253" s="158"/>
      <c r="S253" s="148"/>
      <c r="T253" s="148"/>
      <c r="U253" s="148"/>
      <c r="V253" s="148"/>
      <c r="W253" s="533">
        <f t="shared" si="18"/>
        <v>0</v>
      </c>
      <c r="X253" s="239"/>
      <c r="Y253" s="158"/>
      <c r="Z253" s="158"/>
      <c r="AA253" s="158"/>
      <c r="AB253" s="158"/>
      <c r="AC253" s="531">
        <f t="shared" si="19"/>
        <v>0</v>
      </c>
      <c r="AD253" s="239"/>
      <c r="AE253" s="148"/>
      <c r="AF253" s="148"/>
      <c r="AG253" s="148"/>
      <c r="AH253" s="151"/>
      <c r="AI253" s="661"/>
      <c r="AJ253" s="330"/>
    </row>
    <row r="254" spans="1:36" ht="344.25">
      <c r="A254" s="4" t="s">
        <v>532</v>
      </c>
      <c r="B254" s="149"/>
      <c r="C254" s="148"/>
      <c r="D254" s="149"/>
      <c r="E254" s="4" t="s">
        <v>533</v>
      </c>
      <c r="F254" s="507" t="s">
        <v>534</v>
      </c>
      <c r="G254" s="531"/>
      <c r="H254" s="148"/>
      <c r="I254" s="149"/>
      <c r="J254" s="151"/>
      <c r="K254" s="148"/>
      <c r="L254" s="251"/>
      <c r="M254" s="251"/>
      <c r="N254" s="251"/>
      <c r="O254" s="251"/>
      <c r="P254" s="251"/>
      <c r="Q254" s="621">
        <f t="shared" si="17"/>
        <v>0</v>
      </c>
      <c r="R254" s="251"/>
      <c r="S254" s="231"/>
      <c r="T254" s="231"/>
      <c r="U254" s="231"/>
      <c r="V254" s="231"/>
      <c r="W254" s="621">
        <f t="shared" si="18"/>
        <v>0</v>
      </c>
      <c r="X254" s="248"/>
      <c r="Y254" s="251"/>
      <c r="Z254" s="251"/>
      <c r="AA254" s="251"/>
      <c r="AB254" s="251"/>
      <c r="AC254" s="598">
        <f t="shared" si="19"/>
        <v>0</v>
      </c>
      <c r="AD254" s="248"/>
      <c r="AE254" s="231"/>
      <c r="AF254" s="231"/>
      <c r="AG254" s="231"/>
      <c r="AH254" s="250"/>
      <c r="AI254" s="661"/>
      <c r="AJ254" s="330"/>
    </row>
    <row r="255" spans="1:36" ht="127.5">
      <c r="A255" s="4" t="s">
        <v>535</v>
      </c>
      <c r="B255" s="149"/>
      <c r="C255" s="148"/>
      <c r="D255" s="149"/>
      <c r="E255" s="4" t="s">
        <v>536</v>
      </c>
      <c r="F255" s="507" t="s">
        <v>537</v>
      </c>
      <c r="G255" s="531"/>
      <c r="H255" s="148"/>
      <c r="I255" s="149"/>
      <c r="J255" s="151"/>
      <c r="K255" s="148"/>
      <c r="L255" s="251"/>
      <c r="M255" s="251"/>
      <c r="N255" s="251"/>
      <c r="O255" s="251"/>
      <c r="P255" s="251"/>
      <c r="Q255" s="621"/>
      <c r="R255" s="251"/>
      <c r="S255" s="231"/>
      <c r="T255" s="231"/>
      <c r="U255" s="231"/>
      <c r="V255" s="231"/>
      <c r="W255" s="621"/>
      <c r="X255" s="248"/>
      <c r="Y255" s="251"/>
      <c r="Z255" s="251"/>
      <c r="AA255" s="251"/>
      <c r="AB255" s="251"/>
      <c r="AC255" s="598">
        <f t="shared" si="19"/>
        <v>0</v>
      </c>
      <c r="AD255" s="248"/>
      <c r="AE255" s="231"/>
      <c r="AF255" s="231"/>
      <c r="AG255" s="231"/>
      <c r="AH255" s="250"/>
      <c r="AI255" s="661"/>
      <c r="AJ255" s="330"/>
    </row>
    <row r="256" spans="1:36" ht="25.5">
      <c r="A256" s="4" t="s">
        <v>538</v>
      </c>
      <c r="B256" s="149"/>
      <c r="C256" s="148"/>
      <c r="D256" s="149"/>
      <c r="E256" s="4"/>
      <c r="F256" s="547"/>
      <c r="G256" s="531"/>
      <c r="H256" s="148"/>
      <c r="I256" s="149"/>
      <c r="J256" s="151"/>
      <c r="K256" s="148"/>
      <c r="L256" s="158"/>
      <c r="M256" s="158"/>
      <c r="N256" s="158"/>
      <c r="O256" s="158"/>
      <c r="P256" s="158"/>
      <c r="Q256" s="622"/>
      <c r="R256" s="158"/>
      <c r="S256" s="148"/>
      <c r="T256" s="148"/>
      <c r="U256" s="148"/>
      <c r="V256" s="148"/>
      <c r="W256" s="533"/>
      <c r="X256" s="239"/>
      <c r="Y256" s="158"/>
      <c r="Z256" s="158"/>
      <c r="AA256" s="158"/>
      <c r="AB256" s="158"/>
      <c r="AC256" s="531">
        <f t="shared" si="19"/>
        <v>0</v>
      </c>
      <c r="AD256" s="239"/>
      <c r="AE256" s="148"/>
      <c r="AF256" s="148"/>
      <c r="AG256" s="148"/>
      <c r="AH256" s="151"/>
      <c r="AI256" s="661"/>
      <c r="AJ256" s="330"/>
    </row>
    <row r="257" spans="1:36" ht="39">
      <c r="A257" s="93" t="s">
        <v>539</v>
      </c>
      <c r="B257" s="149"/>
      <c r="C257" s="148"/>
      <c r="D257" s="149"/>
      <c r="E257" s="4"/>
      <c r="F257" s="547"/>
      <c r="G257" s="531"/>
      <c r="H257" s="148"/>
      <c r="I257" s="149"/>
      <c r="J257" s="151"/>
      <c r="K257" s="148"/>
      <c r="L257" s="158"/>
      <c r="M257" s="158"/>
      <c r="N257" s="158"/>
      <c r="O257" s="158"/>
      <c r="P257" s="158"/>
      <c r="Q257" s="622"/>
      <c r="R257" s="158"/>
      <c r="S257" s="148"/>
      <c r="T257" s="148"/>
      <c r="U257" s="148"/>
      <c r="V257" s="148"/>
      <c r="W257" s="533"/>
      <c r="X257" s="239"/>
      <c r="Y257" s="158"/>
      <c r="Z257" s="158"/>
      <c r="AA257" s="158"/>
      <c r="AB257" s="158"/>
      <c r="AC257" s="531">
        <f t="shared" si="19"/>
        <v>0</v>
      </c>
      <c r="AD257" s="239"/>
      <c r="AE257" s="148"/>
      <c r="AF257" s="148"/>
      <c r="AG257" s="148"/>
      <c r="AH257" s="151"/>
      <c r="AI257" s="661"/>
      <c r="AJ257" s="330"/>
    </row>
    <row r="258" spans="1:36" ht="153">
      <c r="A258" s="89" t="s">
        <v>540</v>
      </c>
      <c r="B258" s="149"/>
      <c r="C258" s="148"/>
      <c r="D258" s="149"/>
      <c r="E258" s="4" t="s">
        <v>541</v>
      </c>
      <c r="F258" s="507" t="s">
        <v>530</v>
      </c>
      <c r="G258" s="531"/>
      <c r="H258" s="148"/>
      <c r="I258" s="149"/>
      <c r="J258" s="151"/>
      <c r="K258" s="148"/>
      <c r="L258" s="158"/>
      <c r="M258" s="158"/>
      <c r="N258" s="158"/>
      <c r="O258" s="158"/>
      <c r="P258" s="158"/>
      <c r="Q258" s="622"/>
      <c r="R258" s="158"/>
      <c r="S258" s="148"/>
      <c r="T258" s="148"/>
      <c r="U258" s="148"/>
      <c r="V258" s="148"/>
      <c r="W258" s="533"/>
      <c r="X258" s="239"/>
      <c r="Y258" s="158"/>
      <c r="Z258" s="158"/>
      <c r="AA258" s="158"/>
      <c r="AB258" s="158"/>
      <c r="AC258" s="531">
        <f t="shared" si="19"/>
        <v>0</v>
      </c>
      <c r="AD258" s="239"/>
      <c r="AE258" s="148"/>
      <c r="AF258" s="148"/>
      <c r="AG258" s="148"/>
      <c r="AH258" s="151"/>
      <c r="AI258" s="661"/>
      <c r="AJ258" s="330"/>
    </row>
    <row r="259" spans="1:36" ht="127.5">
      <c r="A259" s="257" t="s">
        <v>542</v>
      </c>
      <c r="B259" s="149"/>
      <c r="C259" s="148"/>
      <c r="D259" s="149"/>
      <c r="E259" s="4" t="s">
        <v>543</v>
      </c>
      <c r="F259" s="507" t="s">
        <v>544</v>
      </c>
      <c r="G259" s="531"/>
      <c r="H259" s="148"/>
      <c r="I259" s="149"/>
      <c r="J259" s="151"/>
      <c r="K259" s="148"/>
      <c r="L259" s="158"/>
      <c r="M259" s="158"/>
      <c r="N259" s="158"/>
      <c r="O259" s="158"/>
      <c r="P259" s="158"/>
      <c r="Q259" s="622"/>
      <c r="R259" s="158"/>
      <c r="S259" s="148"/>
      <c r="T259" s="148"/>
      <c r="U259" s="148"/>
      <c r="V259" s="148"/>
      <c r="W259" s="533"/>
      <c r="X259" s="239"/>
      <c r="Y259" s="158"/>
      <c r="Z259" s="158"/>
      <c r="AA259" s="158"/>
      <c r="AB259" s="158"/>
      <c r="AC259" s="531">
        <f t="shared" si="19"/>
        <v>0</v>
      </c>
      <c r="AD259" s="239"/>
      <c r="AE259" s="148"/>
      <c r="AF259" s="148"/>
      <c r="AG259" s="148"/>
      <c r="AH259" s="151"/>
      <c r="AI259" s="661"/>
      <c r="AJ259" s="330"/>
    </row>
    <row r="260" spans="1:36" ht="115.5">
      <c r="A260" s="89" t="s">
        <v>545</v>
      </c>
      <c r="B260" s="149"/>
      <c r="C260" s="148"/>
      <c r="D260" s="149"/>
      <c r="E260" s="249" t="s">
        <v>546</v>
      </c>
      <c r="F260" s="507" t="s">
        <v>80</v>
      </c>
      <c r="G260" s="531"/>
      <c r="H260" s="148"/>
      <c r="I260" s="149"/>
      <c r="J260" s="151"/>
      <c r="K260" s="148"/>
      <c r="L260" s="158"/>
      <c r="M260" s="158"/>
      <c r="N260" s="158"/>
      <c r="O260" s="158"/>
      <c r="P260" s="158"/>
      <c r="Q260" s="622"/>
      <c r="R260" s="158"/>
      <c r="S260" s="148"/>
      <c r="T260" s="148"/>
      <c r="U260" s="148"/>
      <c r="V260" s="148"/>
      <c r="W260" s="533"/>
      <c r="X260" s="239"/>
      <c r="Y260" s="158"/>
      <c r="Z260" s="158"/>
      <c r="AA260" s="158"/>
      <c r="AB260" s="158"/>
      <c r="AC260" s="531">
        <f t="shared" si="19"/>
        <v>0</v>
      </c>
      <c r="AD260" s="239"/>
      <c r="AE260" s="148"/>
      <c r="AF260" s="148"/>
      <c r="AG260" s="148"/>
      <c r="AH260" s="151"/>
      <c r="AI260" s="661"/>
      <c r="AJ260" s="330"/>
    </row>
    <row r="261" spans="1:36" ht="115.5">
      <c r="A261" s="89" t="s">
        <v>547</v>
      </c>
      <c r="B261" s="149"/>
      <c r="C261" s="148"/>
      <c r="D261" s="149"/>
      <c r="E261" s="249" t="s">
        <v>546</v>
      </c>
      <c r="F261" s="507" t="s">
        <v>80</v>
      </c>
      <c r="G261" s="531"/>
      <c r="H261" s="148"/>
      <c r="I261" s="149"/>
      <c r="J261" s="151"/>
      <c r="K261" s="148"/>
      <c r="L261" s="158"/>
      <c r="M261" s="158"/>
      <c r="N261" s="158"/>
      <c r="O261" s="158"/>
      <c r="P261" s="158"/>
      <c r="Q261" s="622"/>
      <c r="R261" s="158"/>
      <c r="S261" s="148"/>
      <c r="T261" s="148"/>
      <c r="U261" s="148"/>
      <c r="V261" s="148"/>
      <c r="W261" s="533"/>
      <c r="X261" s="239"/>
      <c r="Y261" s="158"/>
      <c r="Z261" s="158"/>
      <c r="AA261" s="158"/>
      <c r="AB261" s="158"/>
      <c r="AC261" s="531">
        <f t="shared" si="19"/>
        <v>0</v>
      </c>
      <c r="AD261" s="239"/>
      <c r="AE261" s="148"/>
      <c r="AF261" s="148"/>
      <c r="AG261" s="148"/>
      <c r="AH261" s="151"/>
      <c r="AI261" s="661"/>
      <c r="AJ261" s="330"/>
    </row>
    <row r="262" spans="1:36">
      <c r="A262" s="4" t="s">
        <v>548</v>
      </c>
      <c r="B262" s="149"/>
      <c r="C262" s="148"/>
      <c r="D262" s="149"/>
      <c r="E262" s="249"/>
      <c r="F262" s="507"/>
      <c r="G262" s="531"/>
      <c r="H262" s="148"/>
      <c r="I262" s="149"/>
      <c r="J262" s="151"/>
      <c r="K262" s="148"/>
      <c r="L262" s="158"/>
      <c r="M262" s="158"/>
      <c r="N262" s="158"/>
      <c r="O262" s="158"/>
      <c r="P262" s="158"/>
      <c r="Q262" s="533"/>
      <c r="R262" s="158"/>
      <c r="S262" s="148"/>
      <c r="T262" s="148"/>
      <c r="U262" s="148"/>
      <c r="V262" s="148"/>
      <c r="W262" s="533"/>
      <c r="X262" s="239"/>
      <c r="Y262" s="158"/>
      <c r="Z262" s="158"/>
      <c r="AA262" s="158"/>
      <c r="AB262" s="158"/>
      <c r="AC262" s="531">
        <f t="shared" si="19"/>
        <v>0</v>
      </c>
      <c r="AD262" s="239"/>
      <c r="AE262" s="148"/>
      <c r="AF262" s="148"/>
      <c r="AG262" s="148"/>
      <c r="AH262" s="151"/>
      <c r="AI262" s="661"/>
      <c r="AJ262" s="330"/>
    </row>
    <row r="263" spans="1:36" ht="25.5">
      <c r="A263" s="247" t="s">
        <v>549</v>
      </c>
      <c r="B263" s="149"/>
      <c r="C263" s="148"/>
      <c r="D263" s="149"/>
      <c r="E263" s="249"/>
      <c r="F263" s="507"/>
      <c r="G263" s="531"/>
      <c r="H263" s="148"/>
      <c r="I263" s="149"/>
      <c r="J263" s="151"/>
      <c r="K263" s="148"/>
      <c r="L263" s="158"/>
      <c r="M263" s="158"/>
      <c r="N263" s="158"/>
      <c r="O263" s="158"/>
      <c r="P263" s="158"/>
      <c r="Q263" s="533"/>
      <c r="R263" s="158"/>
      <c r="S263" s="148"/>
      <c r="T263" s="148"/>
      <c r="U263" s="148"/>
      <c r="V263" s="148"/>
      <c r="W263" s="533"/>
      <c r="X263" s="239"/>
      <c r="Y263" s="158"/>
      <c r="Z263" s="158"/>
      <c r="AA263" s="158"/>
      <c r="AB263" s="158"/>
      <c r="AC263" s="531">
        <f t="shared" si="19"/>
        <v>0</v>
      </c>
      <c r="AD263" s="239"/>
      <c r="AE263" s="148"/>
      <c r="AF263" s="148"/>
      <c r="AG263" s="148"/>
      <c r="AH263" s="151"/>
      <c r="AI263" s="661"/>
      <c r="AJ263" s="330"/>
    </row>
    <row r="264" spans="1:36" ht="89.25">
      <c r="A264" s="4" t="s">
        <v>550</v>
      </c>
      <c r="B264" s="149"/>
      <c r="C264" s="148"/>
      <c r="D264" s="149"/>
      <c r="E264" s="4" t="s">
        <v>551</v>
      </c>
      <c r="F264" s="507" t="s">
        <v>527</v>
      </c>
      <c r="G264" s="531"/>
      <c r="H264" s="148"/>
      <c r="I264" s="149"/>
      <c r="J264" s="151"/>
      <c r="K264" s="148"/>
      <c r="L264" s="158"/>
      <c r="M264" s="158"/>
      <c r="N264" s="158"/>
      <c r="O264" s="158"/>
      <c r="P264" s="158"/>
      <c r="Q264" s="533"/>
      <c r="R264" s="379">
        <v>56010</v>
      </c>
      <c r="S264" s="148"/>
      <c r="T264" s="148"/>
      <c r="U264" s="148"/>
      <c r="V264" s="148"/>
      <c r="W264" s="640">
        <f>SUM(R264:V264)</f>
        <v>56010</v>
      </c>
      <c r="X264" s="379">
        <v>528380.62352000002</v>
      </c>
      <c r="Y264" s="158"/>
      <c r="Z264" s="158"/>
      <c r="AA264" s="158"/>
      <c r="AB264" s="158"/>
      <c r="AC264" s="599">
        <f t="shared" si="19"/>
        <v>528380.62352000002</v>
      </c>
      <c r="AD264" s="379">
        <v>924300.41399999999</v>
      </c>
      <c r="AE264" s="148"/>
      <c r="AF264" s="148"/>
      <c r="AG264" s="148"/>
      <c r="AH264" s="151"/>
      <c r="AI264" s="667">
        <f>SUM(AD264:AH264)</f>
        <v>924300.41399999999</v>
      </c>
      <c r="AJ264" s="330"/>
    </row>
    <row r="265" spans="1:36" ht="63.75">
      <c r="A265" s="4" t="s">
        <v>552</v>
      </c>
      <c r="B265" s="149"/>
      <c r="C265" s="148"/>
      <c r="D265" s="149"/>
      <c r="E265" s="4" t="s">
        <v>553</v>
      </c>
      <c r="F265" s="507" t="s">
        <v>554</v>
      </c>
      <c r="G265" s="531"/>
      <c r="H265" s="148"/>
      <c r="I265" s="149"/>
      <c r="J265" s="151"/>
      <c r="K265" s="148"/>
      <c r="L265" s="137"/>
      <c r="M265" s="158"/>
      <c r="N265" s="158"/>
      <c r="O265" s="158"/>
      <c r="P265" s="158"/>
      <c r="Q265" s="533"/>
      <c r="R265" s="379">
        <v>26798.73</v>
      </c>
      <c r="S265" s="148"/>
      <c r="T265" s="148"/>
      <c r="U265" s="148"/>
      <c r="V265" s="148"/>
      <c r="W265" s="600">
        <f>SUM(R265:V265)</f>
        <v>26798.73</v>
      </c>
      <c r="X265" s="379">
        <v>363662.30670000002</v>
      </c>
      <c r="Y265" s="158"/>
      <c r="Z265" s="158"/>
      <c r="AA265" s="158"/>
      <c r="AB265" s="158"/>
      <c r="AC265" s="600">
        <f>SUM(X265:AB265)</f>
        <v>363662.30670000002</v>
      </c>
      <c r="AD265" s="379">
        <v>165518.51329999999</v>
      </c>
      <c r="AE265" s="148"/>
      <c r="AF265" s="148"/>
      <c r="AG265" s="148"/>
      <c r="AH265" s="151"/>
      <c r="AI265" s="667">
        <f>SUM(AD265:AH265)</f>
        <v>165518.51329999999</v>
      </c>
      <c r="AJ265" s="330"/>
    </row>
    <row r="266" spans="1:36">
      <c r="A266" s="4" t="s">
        <v>555</v>
      </c>
      <c r="B266" s="167"/>
      <c r="C266" s="168"/>
      <c r="D266" s="167"/>
      <c r="E266" s="4"/>
      <c r="F266" s="507"/>
      <c r="G266" s="534"/>
      <c r="H266" s="169"/>
      <c r="I266" s="170"/>
      <c r="J266" s="171"/>
      <c r="K266" s="172"/>
      <c r="L266" s="258"/>
      <c r="M266" s="174"/>
      <c r="N266" s="174"/>
      <c r="O266" s="258"/>
      <c r="P266" s="174"/>
      <c r="Q266" s="533"/>
      <c r="R266" s="258"/>
      <c r="S266" s="175"/>
      <c r="T266" s="175"/>
      <c r="U266" s="176"/>
      <c r="V266" s="175"/>
      <c r="W266" s="533"/>
      <c r="X266" s="258"/>
      <c r="Y266" s="174"/>
      <c r="Z266" s="174"/>
      <c r="AA266" s="258"/>
      <c r="AB266" s="174"/>
      <c r="AC266" s="531">
        <f t="shared" ref="AC266:AC273" si="20">SUM(X266:AB266)</f>
        <v>0</v>
      </c>
      <c r="AD266" s="258"/>
      <c r="AE266" s="175"/>
      <c r="AF266" s="175"/>
      <c r="AG266" s="176"/>
      <c r="AH266" s="171"/>
      <c r="AI266" s="661"/>
      <c r="AJ266" s="330"/>
    </row>
    <row r="267" spans="1:36" ht="25.5">
      <c r="A267" s="259" t="s">
        <v>556</v>
      </c>
      <c r="B267" s="246"/>
      <c r="C267" s="246"/>
      <c r="D267" s="246"/>
      <c r="E267" s="4"/>
      <c r="F267" s="507"/>
      <c r="G267" s="546"/>
      <c r="H267" s="246"/>
      <c r="I267" s="246"/>
      <c r="J267" s="246"/>
      <c r="K267" s="246"/>
      <c r="L267" s="246"/>
      <c r="M267" s="246"/>
      <c r="N267" s="246"/>
      <c r="O267" s="246"/>
      <c r="P267" s="246"/>
      <c r="Q267" s="531"/>
      <c r="R267" s="246"/>
      <c r="S267" s="246"/>
      <c r="T267" s="246"/>
      <c r="U267" s="246"/>
      <c r="V267" s="246"/>
      <c r="W267" s="531"/>
      <c r="X267" s="246"/>
      <c r="Y267" s="246"/>
      <c r="Z267" s="246"/>
      <c r="AA267" s="246"/>
      <c r="AB267" s="246"/>
      <c r="AC267" s="531">
        <f t="shared" si="20"/>
        <v>0</v>
      </c>
      <c r="AD267" s="246"/>
      <c r="AE267" s="246"/>
      <c r="AF267" s="246"/>
      <c r="AG267" s="246"/>
      <c r="AH267" s="340"/>
      <c r="AI267" s="661"/>
      <c r="AJ267" s="330"/>
    </row>
    <row r="268" spans="1:36" ht="192">
      <c r="A268" s="260" t="s">
        <v>557</v>
      </c>
      <c r="B268" s="246"/>
      <c r="C268" s="246"/>
      <c r="D268" s="246"/>
      <c r="E268" s="93" t="s">
        <v>558</v>
      </c>
      <c r="F268" s="507" t="s">
        <v>80</v>
      </c>
      <c r="G268" s="546"/>
      <c r="H268" s="246"/>
      <c r="I268" s="246"/>
      <c r="J268" s="246"/>
      <c r="K268" s="246"/>
      <c r="L268" s="246"/>
      <c r="M268" s="246"/>
      <c r="N268" s="246"/>
      <c r="O268" s="246"/>
      <c r="P268" s="246"/>
      <c r="Q268" s="531"/>
      <c r="R268" s="246"/>
      <c r="S268" s="246"/>
      <c r="T268" s="246"/>
      <c r="U268" s="246"/>
      <c r="V268" s="246"/>
      <c r="W268" s="531"/>
      <c r="X268" s="246"/>
      <c r="Y268" s="246"/>
      <c r="Z268" s="246"/>
      <c r="AA268" s="246"/>
      <c r="AB268" s="246"/>
      <c r="AC268" s="531">
        <f t="shared" si="20"/>
        <v>0</v>
      </c>
      <c r="AD268" s="246"/>
      <c r="AE268" s="246"/>
      <c r="AF268" s="246"/>
      <c r="AG268" s="246"/>
      <c r="AH268" s="340"/>
      <c r="AI268" s="661"/>
      <c r="AJ268" s="330"/>
    </row>
    <row r="269" spans="1:36" ht="26.25">
      <c r="A269" s="261" t="s">
        <v>559</v>
      </c>
      <c r="B269" s="246"/>
      <c r="C269" s="246"/>
      <c r="D269" s="246"/>
      <c r="E269" s="249"/>
      <c r="F269" s="507" t="s">
        <v>80</v>
      </c>
      <c r="G269" s="546"/>
      <c r="H269" s="246"/>
      <c r="I269" s="246"/>
      <c r="J269" s="246"/>
      <c r="K269" s="246"/>
      <c r="L269" s="246"/>
      <c r="M269" s="246"/>
      <c r="N269" s="246"/>
      <c r="O269" s="246"/>
      <c r="P269" s="246"/>
      <c r="Q269" s="531"/>
      <c r="R269" s="246"/>
      <c r="S269" s="246"/>
      <c r="T269" s="246"/>
      <c r="U269" s="246"/>
      <c r="V269" s="246"/>
      <c r="W269" s="531"/>
      <c r="X269" s="246"/>
      <c r="Y269" s="246"/>
      <c r="Z269" s="246"/>
      <c r="AA269" s="246"/>
      <c r="AB269" s="246"/>
      <c r="AC269" s="531">
        <f t="shared" si="20"/>
        <v>0</v>
      </c>
      <c r="AD269" s="246"/>
      <c r="AE269" s="246"/>
      <c r="AF269" s="246"/>
      <c r="AG269" s="246"/>
      <c r="AH269" s="340"/>
      <c r="AI269" s="661"/>
      <c r="AJ269" s="330"/>
    </row>
    <row r="270" spans="1:36" ht="25.5">
      <c r="A270" s="51" t="s">
        <v>560</v>
      </c>
      <c r="B270" s="246"/>
      <c r="C270" s="246"/>
      <c r="D270" s="246"/>
      <c r="E270" s="249"/>
      <c r="F270" s="507" t="s">
        <v>80</v>
      </c>
      <c r="G270" s="546"/>
      <c r="H270" s="246"/>
      <c r="I270" s="246"/>
      <c r="J270" s="246"/>
      <c r="K270" s="246"/>
      <c r="L270" s="246"/>
      <c r="M270" s="246"/>
      <c r="N270" s="246"/>
      <c r="O270" s="246"/>
      <c r="P270" s="246"/>
      <c r="Q270" s="531"/>
      <c r="R270" s="246"/>
      <c r="S270" s="246"/>
      <c r="T270" s="246"/>
      <c r="U270" s="246"/>
      <c r="V270" s="246"/>
      <c r="W270" s="531"/>
      <c r="X270" s="246"/>
      <c r="Y270" s="246"/>
      <c r="Z270" s="246"/>
      <c r="AA270" s="246"/>
      <c r="AB270" s="246"/>
      <c r="AC270" s="531">
        <f t="shared" si="20"/>
        <v>0</v>
      </c>
      <c r="AD270" s="246"/>
      <c r="AE270" s="246"/>
      <c r="AF270" s="246"/>
      <c r="AG270" s="246"/>
      <c r="AH270" s="340"/>
      <c r="AI270" s="661"/>
      <c r="AJ270" s="330"/>
    </row>
    <row r="271" spans="1:36" ht="141">
      <c r="A271" s="51" t="s">
        <v>561</v>
      </c>
      <c r="B271" s="246"/>
      <c r="C271" s="246"/>
      <c r="D271" s="246"/>
      <c r="E271" s="249" t="s">
        <v>562</v>
      </c>
      <c r="F271" s="507" t="s">
        <v>563</v>
      </c>
      <c r="G271" s="546"/>
      <c r="H271" s="246"/>
      <c r="I271" s="246"/>
      <c r="J271" s="246"/>
      <c r="K271" s="246"/>
      <c r="L271" s="379">
        <v>15000</v>
      </c>
      <c r="M271" s="262"/>
      <c r="N271" s="262"/>
      <c r="O271" s="262"/>
      <c r="P271" s="262"/>
      <c r="Q271" s="623">
        <f>SUM(L271:P271)</f>
        <v>15000</v>
      </c>
      <c r="R271" s="262"/>
      <c r="S271" s="262"/>
      <c r="T271" s="262"/>
      <c r="U271" s="262"/>
      <c r="V271" s="262"/>
      <c r="W271" s="531"/>
      <c r="X271" s="262"/>
      <c r="Y271" s="262"/>
      <c r="Z271" s="262"/>
      <c r="AA271" s="262"/>
      <c r="AB271" s="262"/>
      <c r="AC271" s="531">
        <f t="shared" si="20"/>
        <v>0</v>
      </c>
      <c r="AD271" s="262"/>
      <c r="AE271" s="262"/>
      <c r="AF271" s="262"/>
      <c r="AG271" s="262"/>
      <c r="AH271" s="341"/>
      <c r="AI271" s="661"/>
      <c r="AJ271" s="330"/>
    </row>
    <row r="272" spans="1:36">
      <c r="A272" s="263" t="s">
        <v>564</v>
      </c>
      <c r="B272" s="246"/>
      <c r="C272" s="246"/>
      <c r="D272" s="246"/>
      <c r="E272" s="249"/>
      <c r="F272" s="507"/>
      <c r="G272" s="546"/>
      <c r="H272" s="246"/>
      <c r="I272" s="246"/>
      <c r="J272" s="246"/>
      <c r="K272" s="246"/>
      <c r="L272" s="246"/>
      <c r="M272" s="246"/>
      <c r="N272" s="246"/>
      <c r="O272" s="246"/>
      <c r="P272" s="246"/>
      <c r="Q272" s="531"/>
      <c r="R272" s="246"/>
      <c r="S272" s="246"/>
      <c r="T272" s="246"/>
      <c r="U272" s="246"/>
      <c r="V272" s="246"/>
      <c r="W272" s="531"/>
      <c r="X272" s="246"/>
      <c r="Y272" s="246"/>
      <c r="Z272" s="246"/>
      <c r="AA272" s="246"/>
      <c r="AB272" s="246"/>
      <c r="AC272" s="531">
        <f t="shared" si="20"/>
        <v>0</v>
      </c>
      <c r="AD272" s="246"/>
      <c r="AE272" s="246"/>
      <c r="AF272" s="246"/>
      <c r="AG272" s="246"/>
      <c r="AH272" s="340"/>
      <c r="AI272" s="661"/>
      <c r="AJ272" s="330"/>
    </row>
    <row r="273" spans="1:37">
      <c r="A273" s="259" t="s">
        <v>565</v>
      </c>
      <c r="B273" s="246"/>
      <c r="C273" s="246"/>
      <c r="D273" s="246"/>
      <c r="E273" s="249"/>
      <c r="F273" s="521"/>
      <c r="G273" s="546"/>
      <c r="H273" s="246"/>
      <c r="I273" s="246"/>
      <c r="J273" s="246"/>
      <c r="K273" s="246"/>
      <c r="L273" s="246"/>
      <c r="M273" s="246"/>
      <c r="N273" s="246"/>
      <c r="O273" s="246"/>
      <c r="P273" s="246"/>
      <c r="Q273" s="531"/>
      <c r="R273" s="246"/>
      <c r="S273" s="246"/>
      <c r="T273" s="246"/>
      <c r="U273" s="246"/>
      <c r="V273" s="246"/>
      <c r="W273" s="531"/>
      <c r="X273" s="246"/>
      <c r="Y273" s="246"/>
      <c r="Z273" s="246"/>
      <c r="AA273" s="246"/>
      <c r="AB273" s="246"/>
      <c r="AC273" s="531">
        <f t="shared" si="20"/>
        <v>0</v>
      </c>
      <c r="AD273" s="246"/>
      <c r="AE273" s="246"/>
      <c r="AF273" s="246"/>
      <c r="AG273" s="246"/>
      <c r="AH273" s="340"/>
      <c r="AI273" s="661"/>
      <c r="AJ273" s="330"/>
    </row>
    <row r="274" spans="1:37" ht="25.5">
      <c r="A274" s="51" t="s">
        <v>566</v>
      </c>
      <c r="B274" s="246"/>
      <c r="C274" s="246"/>
      <c r="D274" s="246"/>
      <c r="E274" s="249"/>
      <c r="F274" s="521"/>
      <c r="G274" s="546"/>
      <c r="H274" s="246"/>
      <c r="I274" s="246"/>
      <c r="J274" s="246"/>
      <c r="K274" s="246"/>
      <c r="L274" s="381">
        <v>1307.6859999999999</v>
      </c>
      <c r="M274" s="246"/>
      <c r="N274" s="246"/>
      <c r="O274" s="246"/>
      <c r="P274" s="246"/>
      <c r="Q274" s="624">
        <f>SUM(L274:P274)</f>
        <v>1307.6859999999999</v>
      </c>
      <c r="R274" s="381">
        <v>1307.6859999999999</v>
      </c>
      <c r="S274" s="262"/>
      <c r="T274" s="262"/>
      <c r="U274" s="262"/>
      <c r="V274" s="262"/>
      <c r="W274" s="586">
        <f>SUM(R274:V274)</f>
        <v>1307.6859999999999</v>
      </c>
      <c r="X274" s="436">
        <v>1307.6859999999999</v>
      </c>
      <c r="Y274" s="262"/>
      <c r="Z274" s="262"/>
      <c r="AA274" s="262"/>
      <c r="AB274" s="262"/>
      <c r="AC274" s="601">
        <f>SUM(X274:AB274)</f>
        <v>1307.6859999999999</v>
      </c>
      <c r="AD274" s="381">
        <v>1307.6859999999999</v>
      </c>
      <c r="AE274" s="262"/>
      <c r="AF274" s="262"/>
      <c r="AG274" s="262"/>
      <c r="AH274" s="341"/>
      <c r="AI274" s="668">
        <f>SUM(AD274:AH274)</f>
        <v>1307.6859999999999</v>
      </c>
      <c r="AJ274" s="330"/>
    </row>
    <row r="275" spans="1:37" ht="409.6">
      <c r="A275" s="51" t="s">
        <v>571</v>
      </c>
      <c r="B275" s="246"/>
      <c r="C275" s="246"/>
      <c r="D275" s="246"/>
      <c r="E275" s="249" t="s">
        <v>498</v>
      </c>
      <c r="F275" s="507" t="s">
        <v>567</v>
      </c>
      <c r="G275" s="546"/>
      <c r="H275" s="246"/>
      <c r="I275" s="246"/>
      <c r="J275" s="246"/>
      <c r="K275" s="246"/>
      <c r="L275" s="246"/>
      <c r="M275" s="246"/>
      <c r="N275" s="246"/>
      <c r="O275" s="246"/>
      <c r="P275" s="246"/>
      <c r="Q275" s="531"/>
      <c r="R275" s="246"/>
      <c r="S275" s="246"/>
      <c r="T275" s="246"/>
      <c r="U275" s="246"/>
      <c r="V275" s="246"/>
      <c r="W275" s="546"/>
      <c r="X275" s="246"/>
      <c r="Y275" s="246"/>
      <c r="Z275" s="246"/>
      <c r="AA275" s="246"/>
      <c r="AB275" s="246"/>
      <c r="AC275" s="546"/>
      <c r="AD275" s="246"/>
      <c r="AE275" s="246"/>
      <c r="AF275" s="246"/>
      <c r="AG275" s="246"/>
      <c r="AH275" s="340"/>
      <c r="AI275" s="661"/>
      <c r="AJ275" s="330"/>
    </row>
    <row r="276" spans="1:37">
      <c r="A276" s="172" t="s">
        <v>568</v>
      </c>
      <c r="B276" s="309"/>
      <c r="C276" s="309"/>
      <c r="D276" s="309"/>
      <c r="E276" s="310"/>
      <c r="F276" s="548"/>
      <c r="G276" s="548"/>
      <c r="H276" s="309"/>
      <c r="I276" s="309"/>
      <c r="J276" s="309"/>
      <c r="K276" s="309"/>
      <c r="L276" s="311">
        <v>20773</v>
      </c>
      <c r="M276" s="309"/>
      <c r="N276" s="309"/>
      <c r="O276" s="311">
        <v>19900</v>
      </c>
      <c r="P276" s="309"/>
      <c r="Q276" s="597">
        <v>40673</v>
      </c>
      <c r="R276" s="311">
        <v>99115</v>
      </c>
      <c r="S276" s="309"/>
      <c r="T276" s="309"/>
      <c r="U276" s="309"/>
      <c r="V276" s="309"/>
      <c r="W276" s="602">
        <v>99115</v>
      </c>
      <c r="X276" s="311">
        <v>908349</v>
      </c>
      <c r="Y276" s="309"/>
      <c r="Z276" s="309"/>
      <c r="AA276" s="309"/>
      <c r="AB276" s="309"/>
      <c r="AC276" s="602">
        <v>908349</v>
      </c>
      <c r="AD276" s="311">
        <v>1106125</v>
      </c>
      <c r="AE276" s="309"/>
      <c r="AF276" s="309"/>
      <c r="AG276" s="309"/>
      <c r="AH276" s="347"/>
      <c r="AI276" s="669">
        <v>1106125</v>
      </c>
      <c r="AJ276" s="337">
        <v>2154262</v>
      </c>
    </row>
    <row r="277" spans="1:37">
      <c r="A277" s="295"/>
      <c r="B277" s="431"/>
      <c r="C277" s="431"/>
      <c r="D277" s="431"/>
      <c r="E277" s="432"/>
      <c r="F277" s="549"/>
      <c r="G277" s="549"/>
      <c r="H277" s="431"/>
      <c r="I277" s="431"/>
      <c r="J277" s="431"/>
      <c r="K277" s="431"/>
      <c r="L277" s="435">
        <f>SUM(L224:L275)</f>
        <v>45623.686000000002</v>
      </c>
      <c r="M277" s="435">
        <f t="shared" ref="M277:AH277" si="21">SUM(M224:M275)</f>
        <v>0</v>
      </c>
      <c r="N277" s="435">
        <f t="shared" si="21"/>
        <v>0</v>
      </c>
      <c r="O277" s="435">
        <f t="shared" si="21"/>
        <v>19900</v>
      </c>
      <c r="P277" s="435">
        <f t="shared" si="21"/>
        <v>0</v>
      </c>
      <c r="Q277" s="603">
        <f>SUM(Q224:Q275)</f>
        <v>65523.686000000002</v>
      </c>
      <c r="R277" s="435">
        <f>SUM(R224:R275)</f>
        <v>143316.416</v>
      </c>
      <c r="S277" s="435">
        <f t="shared" si="21"/>
        <v>0</v>
      </c>
      <c r="T277" s="435">
        <f t="shared" si="21"/>
        <v>0</v>
      </c>
      <c r="U277" s="435">
        <f t="shared" si="21"/>
        <v>0</v>
      </c>
      <c r="V277" s="435">
        <f t="shared" si="21"/>
        <v>0</v>
      </c>
      <c r="W277" s="603">
        <f t="shared" si="21"/>
        <v>143316.416</v>
      </c>
      <c r="X277" s="435">
        <f t="shared" si="21"/>
        <v>908350.61621999997</v>
      </c>
      <c r="Y277" s="435">
        <f t="shared" si="21"/>
        <v>0</v>
      </c>
      <c r="Z277" s="435">
        <f t="shared" si="21"/>
        <v>0</v>
      </c>
      <c r="AA277" s="435">
        <f t="shared" si="21"/>
        <v>0</v>
      </c>
      <c r="AB277" s="435">
        <f t="shared" si="21"/>
        <v>0</v>
      </c>
      <c r="AC277" s="603">
        <f t="shared" si="21"/>
        <v>908350.61621999997</v>
      </c>
      <c r="AD277" s="435">
        <f>SUM(AD224:AD275)</f>
        <v>1106126.6133000001</v>
      </c>
      <c r="AE277" s="435">
        <f t="shared" si="21"/>
        <v>0</v>
      </c>
      <c r="AF277" s="435">
        <f t="shared" si="21"/>
        <v>0</v>
      </c>
      <c r="AG277" s="435">
        <f t="shared" si="21"/>
        <v>0</v>
      </c>
      <c r="AH277" s="435">
        <f t="shared" si="21"/>
        <v>0</v>
      </c>
      <c r="AI277" s="603">
        <f>SUM(AI224:AI275)</f>
        <v>1106126.6133000001</v>
      </c>
      <c r="AJ277" s="435">
        <f>SUM(AI277+AC277+W277+Q277)</f>
        <v>2223317.3315200005</v>
      </c>
      <c r="AK277" s="433"/>
    </row>
    <row r="278" spans="1:37">
      <c r="A278" s="295"/>
      <c r="B278" s="431"/>
      <c r="C278" s="431"/>
      <c r="D278" s="431"/>
      <c r="E278" s="432"/>
      <c r="F278" s="549"/>
      <c r="G278" s="549"/>
      <c r="H278" s="431"/>
      <c r="I278" s="431"/>
      <c r="J278" s="431"/>
      <c r="K278" s="431"/>
      <c r="L278" s="433"/>
      <c r="M278" s="431"/>
      <c r="N278" s="431"/>
      <c r="O278" s="433"/>
      <c r="P278" s="431"/>
      <c r="Q278" s="625">
        <f>SUM(L277:P277)</f>
        <v>65523.686000000002</v>
      </c>
      <c r="R278" s="433"/>
      <c r="S278" s="431"/>
      <c r="T278" s="431"/>
      <c r="U278" s="431"/>
      <c r="V278" s="431"/>
      <c r="W278" s="603"/>
      <c r="X278" s="433"/>
      <c r="Y278" s="431"/>
      <c r="Z278" s="431"/>
      <c r="AA278" s="431"/>
      <c r="AB278" s="431"/>
      <c r="AC278" s="603"/>
      <c r="AD278" s="433"/>
      <c r="AE278" s="431"/>
      <c r="AF278" s="431"/>
      <c r="AG278" s="431"/>
      <c r="AH278" s="431"/>
      <c r="AI278" s="670"/>
      <c r="AJ278" s="422"/>
    </row>
    <row r="279" spans="1:37">
      <c r="A279" s="295"/>
      <c r="B279" s="296"/>
      <c r="C279" s="296"/>
      <c r="D279" s="296"/>
      <c r="E279" s="297"/>
      <c r="F279" s="550"/>
      <c r="G279" s="550"/>
      <c r="H279" s="296"/>
      <c r="I279" s="296"/>
      <c r="J279" s="296"/>
      <c r="K279" s="296"/>
      <c r="L279" s="296"/>
      <c r="M279" s="296"/>
      <c r="N279" s="296"/>
      <c r="O279" s="296"/>
      <c r="P279" s="296"/>
      <c r="Q279" s="626"/>
      <c r="R279" s="296"/>
      <c r="S279" s="296"/>
      <c r="T279" s="296"/>
      <c r="U279" s="296"/>
      <c r="V279" s="296"/>
      <c r="W279" s="550"/>
      <c r="X279" s="296"/>
      <c r="Y279" s="296"/>
      <c r="Z279" s="296"/>
      <c r="AA279" s="296"/>
      <c r="AB279" s="296"/>
      <c r="AC279" s="550"/>
      <c r="AD279" s="296"/>
      <c r="AE279" s="296"/>
      <c r="AF279" s="296"/>
      <c r="AG279" s="296"/>
      <c r="AH279" s="296"/>
    </row>
    <row r="280" spans="1:37" ht="25.5">
      <c r="A280" s="295" t="s">
        <v>621</v>
      </c>
      <c r="B280" s="296"/>
      <c r="C280" s="296"/>
      <c r="D280" s="296"/>
      <c r="E280" s="297"/>
      <c r="F280" s="550"/>
      <c r="G280" s="550"/>
      <c r="H280" s="296"/>
      <c r="I280" s="296"/>
      <c r="J280" s="296"/>
      <c r="K280" s="296"/>
      <c r="L280" s="296"/>
      <c r="M280" s="296"/>
      <c r="N280" s="296"/>
      <c r="O280" s="296"/>
      <c r="P280" s="296"/>
      <c r="Q280" s="626"/>
      <c r="R280" s="296"/>
      <c r="S280" s="296"/>
      <c r="T280" s="296"/>
      <c r="U280" s="296"/>
      <c r="V280" s="296"/>
      <c r="W280" s="550"/>
      <c r="X280" s="296"/>
      <c r="Y280" s="296"/>
      <c r="Z280" s="296"/>
      <c r="AA280" s="296"/>
      <c r="AB280" s="296"/>
      <c r="AC280" s="550"/>
      <c r="AD280" s="296"/>
      <c r="AE280" s="296"/>
      <c r="AF280" s="296"/>
      <c r="AG280" s="296"/>
      <c r="AH280" s="296"/>
    </row>
    <row r="282" spans="1:37" ht="46.5" customHeight="1">
      <c r="A282" s="1078" t="s">
        <v>572</v>
      </c>
      <c r="B282" s="1078" t="s">
        <v>0</v>
      </c>
      <c r="C282" s="1078" t="s">
        <v>573</v>
      </c>
      <c r="D282" s="1081" t="s">
        <v>5</v>
      </c>
      <c r="E282" s="1082"/>
      <c r="F282" s="1184" t="s">
        <v>22</v>
      </c>
      <c r="G282" s="1187" t="s">
        <v>211</v>
      </c>
      <c r="H282" s="1014" t="s">
        <v>212</v>
      </c>
      <c r="I282" s="1014" t="s">
        <v>574</v>
      </c>
      <c r="J282" s="1181" t="s">
        <v>575</v>
      </c>
      <c r="K282" s="1181"/>
      <c r="L282" s="1181"/>
      <c r="M282" s="1181"/>
      <c r="N282" s="1181"/>
      <c r="O282" s="1181"/>
      <c r="P282" s="1181" t="s">
        <v>575</v>
      </c>
      <c r="Q282" s="1181"/>
      <c r="R282" s="1181"/>
      <c r="S282" s="1181"/>
      <c r="T282" s="1181"/>
      <c r="U282" s="1181"/>
      <c r="V282" s="1181" t="s">
        <v>575</v>
      </c>
      <c r="W282" s="1181"/>
      <c r="X282" s="1181"/>
      <c r="Y282" s="1181"/>
      <c r="Z282" s="1181"/>
      <c r="AA282" s="1181"/>
      <c r="AB282" s="1181" t="s">
        <v>575</v>
      </c>
      <c r="AC282" s="1181"/>
      <c r="AD282" s="1181"/>
      <c r="AE282" s="1181"/>
      <c r="AF282" s="1181"/>
      <c r="AG282" s="1181"/>
      <c r="AH282" s="460" t="s">
        <v>575</v>
      </c>
    </row>
    <row r="283" spans="1:37" ht="15" customHeight="1">
      <c r="A283" s="1079"/>
      <c r="B283" s="1079"/>
      <c r="C283" s="1079"/>
      <c r="D283" s="1073" t="s">
        <v>576</v>
      </c>
      <c r="E283" s="1073" t="s">
        <v>6</v>
      </c>
      <c r="F283" s="1185"/>
      <c r="G283" s="1187"/>
      <c r="H283" s="1015"/>
      <c r="I283" s="1015"/>
      <c r="J283" s="1180" t="s">
        <v>12</v>
      </c>
      <c r="K283" s="1180"/>
      <c r="L283" s="1180"/>
      <c r="M283" s="1180"/>
      <c r="N283" s="1180"/>
      <c r="O283" s="1180"/>
      <c r="P283" s="1180" t="s">
        <v>13</v>
      </c>
      <c r="Q283" s="1180"/>
      <c r="R283" s="1180"/>
      <c r="S283" s="1180"/>
      <c r="T283" s="1180"/>
      <c r="U283" s="1180"/>
      <c r="V283" s="1180" t="s">
        <v>14</v>
      </c>
      <c r="W283" s="1180"/>
      <c r="X283" s="1180"/>
      <c r="Y283" s="1180"/>
      <c r="Z283" s="1180"/>
      <c r="AA283" s="1180"/>
      <c r="AB283" s="1180" t="s">
        <v>15</v>
      </c>
      <c r="AC283" s="1180"/>
      <c r="AD283" s="1180"/>
      <c r="AE283" s="1180"/>
      <c r="AF283" s="1180"/>
      <c r="AG283" s="1180"/>
      <c r="AH283" s="460" t="s">
        <v>577</v>
      </c>
    </row>
    <row r="284" spans="1:37" ht="49.5" customHeight="1">
      <c r="A284" s="1080"/>
      <c r="B284" s="1080"/>
      <c r="C284" s="1080"/>
      <c r="D284" s="1074"/>
      <c r="E284" s="1074"/>
      <c r="F284" s="1186"/>
      <c r="G284" s="1187"/>
      <c r="H284" s="1016"/>
      <c r="I284" s="1016"/>
      <c r="J284" s="480" t="s">
        <v>1</v>
      </c>
      <c r="K284" s="480" t="s">
        <v>9</v>
      </c>
      <c r="L284" s="480" t="s">
        <v>3</v>
      </c>
      <c r="M284" s="480" t="s">
        <v>17</v>
      </c>
      <c r="N284" s="480" t="s">
        <v>19</v>
      </c>
      <c r="O284" s="604" t="s">
        <v>4</v>
      </c>
      <c r="P284" s="480" t="s">
        <v>1</v>
      </c>
      <c r="Q284" s="627" t="s">
        <v>9</v>
      </c>
      <c r="R284" s="480" t="s">
        <v>3</v>
      </c>
      <c r="S284" s="480" t="s">
        <v>17</v>
      </c>
      <c r="T284" s="480" t="s">
        <v>19</v>
      </c>
      <c r="U284" s="604" t="s">
        <v>4</v>
      </c>
      <c r="V284" s="480" t="s">
        <v>1</v>
      </c>
      <c r="W284" s="627" t="s">
        <v>9</v>
      </c>
      <c r="X284" s="480" t="s">
        <v>285</v>
      </c>
      <c r="Y284" s="480" t="s">
        <v>17</v>
      </c>
      <c r="Z284" s="480" t="s">
        <v>19</v>
      </c>
      <c r="AA284" s="604" t="s">
        <v>4</v>
      </c>
      <c r="AB284" s="480" t="s">
        <v>1</v>
      </c>
      <c r="AC284" s="627" t="s">
        <v>9</v>
      </c>
      <c r="AD284" s="480" t="s">
        <v>3</v>
      </c>
      <c r="AE284" s="480" t="s">
        <v>17</v>
      </c>
      <c r="AF284" s="480" t="s">
        <v>19</v>
      </c>
      <c r="AG284" s="604" t="s">
        <v>4</v>
      </c>
      <c r="AH284" s="480" t="s">
        <v>577</v>
      </c>
    </row>
    <row r="285" spans="1:37">
      <c r="A285" s="457"/>
      <c r="B285" s="457" t="s">
        <v>33</v>
      </c>
      <c r="C285" s="269" t="s">
        <v>34</v>
      </c>
      <c r="D285" s="269" t="s">
        <v>45</v>
      </c>
      <c r="E285" s="459" t="s">
        <v>35</v>
      </c>
      <c r="F285" s="551" t="s">
        <v>36</v>
      </c>
      <c r="G285" s="551" t="s">
        <v>37</v>
      </c>
      <c r="H285" s="457" t="s">
        <v>38</v>
      </c>
      <c r="I285" s="457" t="s">
        <v>39</v>
      </c>
      <c r="J285" s="11" t="s">
        <v>40</v>
      </c>
      <c r="K285" s="11" t="s">
        <v>41</v>
      </c>
      <c r="L285" s="11" t="s">
        <v>221</v>
      </c>
      <c r="M285" s="11" t="s">
        <v>222</v>
      </c>
      <c r="N285" s="11" t="s">
        <v>223</v>
      </c>
      <c r="O285" s="578" t="s">
        <v>224</v>
      </c>
      <c r="P285" s="11" t="s">
        <v>225</v>
      </c>
      <c r="Q285" s="630" t="s">
        <v>578</v>
      </c>
      <c r="R285" s="11" t="s">
        <v>227</v>
      </c>
      <c r="S285" s="11" t="s">
        <v>286</v>
      </c>
      <c r="T285" s="11" t="s">
        <v>229</v>
      </c>
      <c r="U285" s="578" t="s">
        <v>230</v>
      </c>
      <c r="V285" s="11" t="s">
        <v>231</v>
      </c>
      <c r="W285" s="630" t="s">
        <v>232</v>
      </c>
      <c r="X285" s="11" t="s">
        <v>233</v>
      </c>
      <c r="Y285" s="11" t="s">
        <v>234</v>
      </c>
      <c r="Z285" s="11" t="s">
        <v>235</v>
      </c>
      <c r="AA285" s="578" t="s">
        <v>236</v>
      </c>
      <c r="AB285" s="11" t="s">
        <v>237</v>
      </c>
      <c r="AC285" s="630" t="s">
        <v>238</v>
      </c>
      <c r="AD285" s="11" t="s">
        <v>239</v>
      </c>
      <c r="AE285" s="11" t="s">
        <v>240</v>
      </c>
      <c r="AF285" s="11" t="s">
        <v>241</v>
      </c>
      <c r="AG285" s="578" t="s">
        <v>242</v>
      </c>
      <c r="AH285" s="271" t="s">
        <v>243</v>
      </c>
    </row>
    <row r="286" spans="1:37">
      <c r="A286" s="272" t="s">
        <v>287</v>
      </c>
      <c r="B286" s="273"/>
      <c r="C286" s="273"/>
      <c r="D286" s="274"/>
      <c r="E286" s="274"/>
      <c r="F286" s="552"/>
      <c r="G286" s="553"/>
      <c r="H286" s="273"/>
      <c r="I286" s="273"/>
      <c r="J286" s="11"/>
      <c r="K286" s="11"/>
      <c r="L286" s="11"/>
      <c r="M286" s="11"/>
      <c r="N286" s="11"/>
      <c r="O286" s="578"/>
      <c r="P286" s="275"/>
      <c r="Q286" s="631"/>
      <c r="R286" s="275"/>
      <c r="S286" s="275"/>
      <c r="T286" s="275"/>
      <c r="U286" s="605"/>
      <c r="V286" s="275"/>
      <c r="W286" s="631"/>
      <c r="X286" s="275"/>
      <c r="Y286" s="275"/>
      <c r="Z286" s="275"/>
      <c r="AA286" s="605"/>
      <c r="AB286" s="275"/>
      <c r="AC286" s="631"/>
      <c r="AD286" s="275"/>
      <c r="AE286" s="275"/>
      <c r="AF286" s="275"/>
      <c r="AG286" s="605"/>
      <c r="AH286" s="275"/>
    </row>
    <row r="287" spans="1:37" ht="26.25">
      <c r="A287" s="276" t="s">
        <v>579</v>
      </c>
      <c r="B287" s="273"/>
      <c r="C287" s="273"/>
      <c r="D287" s="274"/>
      <c r="E287" s="274"/>
      <c r="F287" s="552"/>
      <c r="G287" s="553"/>
      <c r="H287" s="273"/>
      <c r="I287" s="273"/>
      <c r="J287" s="275"/>
      <c r="K287" s="275"/>
      <c r="L287" s="275"/>
      <c r="M287" s="275"/>
      <c r="N287" s="275"/>
      <c r="O287" s="605"/>
      <c r="P287" s="275"/>
      <c r="Q287" s="631"/>
      <c r="R287" s="275"/>
      <c r="S287" s="275"/>
      <c r="T287" s="275"/>
      <c r="U287" s="605"/>
      <c r="V287" s="275"/>
      <c r="W287" s="631"/>
      <c r="X287" s="275"/>
      <c r="Y287" s="275"/>
      <c r="Z287" s="275"/>
      <c r="AA287" s="605"/>
      <c r="AB287" s="275"/>
      <c r="AC287" s="631"/>
      <c r="AD287" s="275"/>
      <c r="AE287" s="275"/>
      <c r="AF287" s="275"/>
      <c r="AG287" s="605"/>
      <c r="AH287" s="275"/>
    </row>
    <row r="288" spans="1:37">
      <c r="A288" s="277" t="s">
        <v>580</v>
      </c>
      <c r="B288" s="273"/>
      <c r="C288" s="273"/>
      <c r="D288" s="274"/>
      <c r="E288" s="274"/>
      <c r="F288" s="552"/>
      <c r="G288" s="553"/>
      <c r="H288" s="273"/>
      <c r="I288" s="273"/>
      <c r="J288" s="275"/>
      <c r="K288" s="275"/>
      <c r="L288" s="275"/>
      <c r="M288" s="275"/>
      <c r="N288" s="275"/>
      <c r="O288" s="605"/>
      <c r="P288" s="275"/>
      <c r="Q288" s="631"/>
      <c r="R288" s="275"/>
      <c r="S288" s="275"/>
      <c r="T288" s="275"/>
      <c r="U288" s="605"/>
      <c r="V288" s="275"/>
      <c r="W288" s="631"/>
      <c r="X288" s="275"/>
      <c r="Y288" s="275"/>
      <c r="Z288" s="275"/>
      <c r="AA288" s="605"/>
      <c r="AB288" s="275"/>
      <c r="AC288" s="631"/>
      <c r="AD288" s="275"/>
      <c r="AE288" s="275"/>
      <c r="AF288" s="275"/>
      <c r="AG288" s="605"/>
      <c r="AH288" s="275"/>
    </row>
    <row r="289" spans="1:34">
      <c r="A289" s="277" t="s">
        <v>581</v>
      </c>
      <c r="B289" s="273"/>
      <c r="C289" s="273"/>
      <c r="D289" s="274"/>
      <c r="E289" s="274"/>
      <c r="F289" s="552"/>
      <c r="G289" s="553"/>
      <c r="H289" s="273"/>
      <c r="I289" s="273"/>
      <c r="J289" s="275"/>
      <c r="K289" s="275"/>
      <c r="L289" s="275"/>
      <c r="M289" s="275"/>
      <c r="N289" s="275"/>
      <c r="O289" s="605"/>
      <c r="P289" s="275"/>
      <c r="Q289" s="631"/>
      <c r="R289" s="275"/>
      <c r="S289" s="275"/>
      <c r="T289" s="275"/>
      <c r="U289" s="605"/>
      <c r="V289" s="275"/>
      <c r="W289" s="631"/>
      <c r="X289" s="275"/>
      <c r="Y289" s="275"/>
      <c r="Z289" s="275"/>
      <c r="AA289" s="605"/>
      <c r="AB289" s="275"/>
      <c r="AC289" s="631"/>
      <c r="AD289" s="275"/>
      <c r="AE289" s="275"/>
      <c r="AF289" s="275"/>
      <c r="AG289" s="605"/>
      <c r="AH289" s="275"/>
    </row>
    <row r="290" spans="1:34">
      <c r="A290" s="278" t="s">
        <v>16</v>
      </c>
      <c r="B290" s="279"/>
      <c r="C290" s="279"/>
      <c r="D290" s="279"/>
      <c r="E290" s="279"/>
      <c r="F290" s="552"/>
      <c r="G290" s="554"/>
      <c r="H290" s="280"/>
      <c r="I290" s="280"/>
      <c r="J290" s="63"/>
      <c r="K290" s="63"/>
      <c r="L290" s="63"/>
      <c r="M290" s="63"/>
      <c r="N290" s="63"/>
      <c r="O290" s="558"/>
      <c r="P290" s="63"/>
      <c r="Q290" s="285"/>
      <c r="R290" s="63"/>
      <c r="S290" s="63"/>
      <c r="T290" s="63"/>
      <c r="U290" s="558"/>
      <c r="V290" s="63"/>
      <c r="W290" s="285"/>
      <c r="X290" s="63"/>
      <c r="Y290" s="63"/>
      <c r="Z290" s="63"/>
      <c r="AA290" s="558"/>
      <c r="AB290" s="63"/>
      <c r="AC290" s="285"/>
      <c r="AD290" s="63"/>
      <c r="AE290" s="63"/>
      <c r="AF290" s="63"/>
      <c r="AG290" s="558"/>
      <c r="AH290" s="63"/>
    </row>
    <row r="291" spans="1:34" ht="38.25">
      <c r="A291" s="76" t="s">
        <v>582</v>
      </c>
      <c r="B291" s="279"/>
      <c r="C291" s="279"/>
      <c r="D291" s="279"/>
      <c r="E291" s="279"/>
      <c r="F291" s="552"/>
      <c r="G291" s="554"/>
      <c r="H291" s="280"/>
      <c r="I291" s="280"/>
      <c r="J291" s="63"/>
      <c r="K291" s="63"/>
      <c r="L291" s="63"/>
      <c r="M291" s="63"/>
      <c r="N291" s="63"/>
      <c r="O291" s="558"/>
      <c r="P291" s="63"/>
      <c r="Q291" s="285"/>
      <c r="R291" s="63"/>
      <c r="S291" s="63"/>
      <c r="T291" s="63"/>
      <c r="U291" s="558"/>
      <c r="V291" s="63"/>
      <c r="W291" s="285"/>
      <c r="X291" s="63"/>
      <c r="Y291" s="63"/>
      <c r="Z291" s="63"/>
      <c r="AA291" s="558"/>
      <c r="AB291" s="63"/>
      <c r="AC291" s="285"/>
      <c r="AD291" s="63"/>
      <c r="AE291" s="63"/>
      <c r="AF291" s="63"/>
      <c r="AG291" s="558"/>
      <c r="AH291" s="63"/>
    </row>
    <row r="292" spans="1:34">
      <c r="A292" s="281" t="s">
        <v>362</v>
      </c>
      <c r="B292" s="279"/>
      <c r="C292" s="279"/>
      <c r="D292" s="279"/>
      <c r="E292" s="279"/>
      <c r="F292" s="552"/>
      <c r="G292" s="554"/>
      <c r="H292" s="280"/>
      <c r="I292" s="280"/>
      <c r="J292" s="63"/>
      <c r="K292" s="63"/>
      <c r="L292" s="63"/>
      <c r="M292" s="63"/>
      <c r="N292" s="63"/>
      <c r="O292" s="558"/>
      <c r="P292" s="63"/>
      <c r="Q292" s="285"/>
      <c r="R292" s="63"/>
      <c r="S292" s="63"/>
      <c r="T292" s="63"/>
      <c r="U292" s="558"/>
      <c r="V292" s="63"/>
      <c r="W292" s="285"/>
      <c r="X292" s="63"/>
      <c r="Y292" s="63"/>
      <c r="Z292" s="63"/>
      <c r="AA292" s="558"/>
      <c r="AB292" s="63"/>
      <c r="AC292" s="285"/>
      <c r="AD292" s="63"/>
      <c r="AE292" s="63"/>
      <c r="AF292" s="63"/>
      <c r="AG292" s="558"/>
      <c r="AH292" s="63"/>
    </row>
    <row r="293" spans="1:34" ht="25.5">
      <c r="A293" s="76" t="s">
        <v>583</v>
      </c>
      <c r="B293" s="58"/>
      <c r="C293" s="58"/>
      <c r="D293" s="279"/>
      <c r="E293" s="279"/>
      <c r="F293" s="552"/>
      <c r="G293" s="554"/>
      <c r="H293" s="280"/>
      <c r="I293" s="280"/>
      <c r="J293" s="63"/>
      <c r="K293" s="63"/>
      <c r="L293" s="63"/>
      <c r="M293" s="63"/>
      <c r="N293" s="63"/>
      <c r="O293" s="558"/>
      <c r="P293" s="63"/>
      <c r="Q293" s="285"/>
      <c r="R293" s="63"/>
      <c r="S293" s="63"/>
      <c r="T293" s="63"/>
      <c r="U293" s="558"/>
      <c r="V293" s="63"/>
      <c r="W293" s="285"/>
      <c r="X293" s="63"/>
      <c r="Y293" s="63"/>
      <c r="Z293" s="63"/>
      <c r="AA293" s="558"/>
      <c r="AB293" s="63"/>
      <c r="AC293" s="285"/>
      <c r="AD293" s="63"/>
      <c r="AE293" s="63"/>
      <c r="AF293" s="63"/>
      <c r="AG293" s="558"/>
      <c r="AH293" s="63"/>
    </row>
    <row r="294" spans="1:34">
      <c r="A294" s="277" t="s">
        <v>584</v>
      </c>
      <c r="B294" s="58"/>
      <c r="C294" s="58"/>
      <c r="D294" s="58"/>
      <c r="E294" s="58"/>
      <c r="F294" s="552"/>
      <c r="G294" s="554"/>
      <c r="H294" s="280"/>
      <c r="I294" s="280"/>
      <c r="J294" s="63"/>
      <c r="K294" s="63"/>
      <c r="L294" s="63"/>
      <c r="M294" s="63"/>
      <c r="N294" s="63"/>
      <c r="O294" s="558"/>
      <c r="P294" s="63"/>
      <c r="Q294" s="285"/>
      <c r="R294" s="63"/>
      <c r="S294" s="63"/>
      <c r="T294" s="63"/>
      <c r="U294" s="558"/>
      <c r="V294" s="63"/>
      <c r="W294" s="285"/>
      <c r="X294" s="63"/>
      <c r="Y294" s="63"/>
      <c r="Z294" s="63"/>
      <c r="AA294" s="558"/>
      <c r="AB294" s="63"/>
      <c r="AC294" s="285"/>
      <c r="AD294" s="63"/>
      <c r="AE294" s="63"/>
      <c r="AF294" s="63"/>
      <c r="AG294" s="558"/>
      <c r="AH294" s="63"/>
    </row>
    <row r="295" spans="1:34" ht="25.5">
      <c r="A295" s="76" t="s">
        <v>585</v>
      </c>
      <c r="B295" s="58"/>
      <c r="C295" s="58"/>
      <c r="D295" s="58"/>
      <c r="E295" s="58"/>
      <c r="F295" s="552"/>
      <c r="G295" s="554"/>
      <c r="H295" s="280"/>
      <c r="I295" s="280"/>
      <c r="J295" s="63"/>
      <c r="K295" s="63"/>
      <c r="L295" s="63"/>
      <c r="M295" s="63"/>
      <c r="N295" s="63"/>
      <c r="O295" s="558"/>
      <c r="P295" s="63"/>
      <c r="Q295" s="285"/>
      <c r="R295" s="63"/>
      <c r="S295" s="63"/>
      <c r="T295" s="63"/>
      <c r="U295" s="558"/>
      <c r="V295" s="63"/>
      <c r="W295" s="285"/>
      <c r="X295" s="63"/>
      <c r="Y295" s="63"/>
      <c r="Z295" s="63"/>
      <c r="AA295" s="558"/>
      <c r="AB295" s="63"/>
      <c r="AC295" s="285"/>
      <c r="AD295" s="63"/>
      <c r="AE295" s="63"/>
      <c r="AF295" s="63"/>
      <c r="AG295" s="558"/>
      <c r="AH295" s="63"/>
    </row>
    <row r="296" spans="1:34">
      <c r="A296" s="277" t="s">
        <v>586</v>
      </c>
      <c r="B296" s="58"/>
      <c r="C296" s="58"/>
      <c r="D296" s="58"/>
      <c r="E296" s="58"/>
      <c r="F296" s="552"/>
      <c r="G296" s="554"/>
      <c r="H296" s="280"/>
      <c r="I296" s="280"/>
      <c r="J296" s="63"/>
      <c r="K296" s="63"/>
      <c r="L296" s="63"/>
      <c r="M296" s="63"/>
      <c r="N296" s="63"/>
      <c r="O296" s="558"/>
      <c r="P296" s="63"/>
      <c r="Q296" s="285"/>
      <c r="R296" s="63"/>
      <c r="S296" s="63"/>
      <c r="T296" s="63"/>
      <c r="U296" s="558"/>
      <c r="V296" s="63"/>
      <c r="W296" s="285"/>
      <c r="X296" s="63"/>
      <c r="Y296" s="63"/>
      <c r="Z296" s="63"/>
      <c r="AA296" s="558"/>
      <c r="AB296" s="63"/>
      <c r="AC296" s="285"/>
      <c r="AD296" s="63"/>
      <c r="AE296" s="63"/>
      <c r="AF296" s="63"/>
      <c r="AG296" s="558"/>
      <c r="AH296" s="63"/>
    </row>
    <row r="297" spans="1:34" ht="38.25">
      <c r="A297" s="76" t="s">
        <v>587</v>
      </c>
      <c r="B297" s="58"/>
      <c r="C297" s="58"/>
      <c r="D297" s="58"/>
      <c r="E297" s="58"/>
      <c r="F297" s="552"/>
      <c r="G297" s="554"/>
      <c r="H297" s="280"/>
      <c r="I297" s="280"/>
      <c r="J297" s="63"/>
      <c r="K297" s="63"/>
      <c r="L297" s="63"/>
      <c r="M297" s="63"/>
      <c r="N297" s="63"/>
      <c r="O297" s="558"/>
      <c r="P297" s="63"/>
      <c r="Q297" s="285"/>
      <c r="R297" s="63"/>
      <c r="S297" s="63"/>
      <c r="T297" s="63"/>
      <c r="U297" s="558"/>
      <c r="V297" s="63"/>
      <c r="W297" s="285"/>
      <c r="X297" s="63"/>
      <c r="Y297" s="63"/>
      <c r="Z297" s="63"/>
      <c r="AA297" s="558"/>
      <c r="AB297" s="63"/>
      <c r="AC297" s="285"/>
      <c r="AD297" s="63"/>
      <c r="AE297" s="63"/>
      <c r="AF297" s="63"/>
      <c r="AG297" s="558"/>
      <c r="AH297" s="63"/>
    </row>
    <row r="298" spans="1:34">
      <c r="A298" s="278" t="s">
        <v>16</v>
      </c>
      <c r="B298" s="279"/>
      <c r="C298" s="279"/>
      <c r="D298" s="279"/>
      <c r="E298" s="279"/>
      <c r="F298" s="552"/>
      <c r="G298" s="554"/>
      <c r="H298" s="280"/>
      <c r="I298" s="280"/>
      <c r="J298" s="63"/>
      <c r="K298" s="63"/>
      <c r="L298" s="63"/>
      <c r="M298" s="63"/>
      <c r="N298" s="63"/>
      <c r="O298" s="558"/>
      <c r="P298" s="63"/>
      <c r="Q298" s="285"/>
      <c r="R298" s="63"/>
      <c r="S298" s="63"/>
      <c r="T298" s="63"/>
      <c r="U298" s="558"/>
      <c r="V298" s="63"/>
      <c r="W298" s="285"/>
      <c r="X298" s="63"/>
      <c r="Y298" s="63"/>
      <c r="Z298" s="63"/>
      <c r="AA298" s="558"/>
      <c r="AB298" s="63"/>
      <c r="AC298" s="285"/>
      <c r="AD298" s="63"/>
      <c r="AE298" s="63"/>
      <c r="AF298" s="63"/>
      <c r="AG298" s="558"/>
      <c r="AH298" s="63"/>
    </row>
    <row r="299" spans="1:34" ht="38.25">
      <c r="A299" s="76" t="s">
        <v>582</v>
      </c>
      <c r="B299" s="279"/>
      <c r="C299" s="279"/>
      <c r="D299" s="279"/>
      <c r="E299" s="279"/>
      <c r="F299" s="552"/>
      <c r="G299" s="554"/>
      <c r="H299" s="280"/>
      <c r="I299" s="280"/>
      <c r="J299" s="63"/>
      <c r="K299" s="63"/>
      <c r="L299" s="63"/>
      <c r="M299" s="63"/>
      <c r="N299" s="63"/>
      <c r="O299" s="558"/>
      <c r="P299" s="63"/>
      <c r="Q299" s="285"/>
      <c r="R299" s="63"/>
      <c r="S299" s="63"/>
      <c r="T299" s="63"/>
      <c r="U299" s="558"/>
      <c r="V299" s="63"/>
      <c r="W299" s="285"/>
      <c r="X299" s="63"/>
      <c r="Y299" s="63"/>
      <c r="Z299" s="63"/>
      <c r="AA299" s="558"/>
      <c r="AB299" s="63"/>
      <c r="AC299" s="285"/>
      <c r="AD299" s="63"/>
      <c r="AE299" s="63"/>
      <c r="AF299" s="63"/>
      <c r="AG299" s="558"/>
      <c r="AH299" s="63"/>
    </row>
    <row r="300" spans="1:34">
      <c r="A300" s="281" t="s">
        <v>588</v>
      </c>
      <c r="B300" s="279"/>
      <c r="C300" s="279"/>
      <c r="D300" s="279"/>
      <c r="E300" s="279"/>
      <c r="F300" s="552"/>
      <c r="G300" s="554"/>
      <c r="H300" s="280"/>
      <c r="I300" s="280"/>
      <c r="J300" s="63"/>
      <c r="K300" s="63"/>
      <c r="L300" s="63"/>
      <c r="M300" s="63"/>
      <c r="N300" s="63"/>
      <c r="O300" s="558"/>
      <c r="P300" s="63"/>
      <c r="Q300" s="285"/>
      <c r="R300" s="63"/>
      <c r="S300" s="63"/>
      <c r="T300" s="63"/>
      <c r="U300" s="558"/>
      <c r="V300" s="63"/>
      <c r="W300" s="285"/>
      <c r="X300" s="63"/>
      <c r="Y300" s="63"/>
      <c r="Z300" s="63"/>
      <c r="AA300" s="558"/>
      <c r="AB300" s="63"/>
      <c r="AC300" s="285"/>
      <c r="AD300" s="63"/>
      <c r="AE300" s="63"/>
      <c r="AF300" s="63"/>
      <c r="AG300" s="558"/>
      <c r="AH300" s="63"/>
    </row>
    <row r="301" spans="1:34" ht="25.5">
      <c r="A301" s="76" t="s">
        <v>583</v>
      </c>
      <c r="B301" s="58"/>
      <c r="C301" s="58"/>
      <c r="D301" s="279"/>
      <c r="E301" s="279"/>
      <c r="F301" s="552"/>
      <c r="G301" s="554"/>
      <c r="H301" s="280"/>
      <c r="I301" s="280"/>
      <c r="J301" s="63"/>
      <c r="K301" s="63"/>
      <c r="L301" s="63"/>
      <c r="M301" s="63"/>
      <c r="N301" s="63"/>
      <c r="O301" s="558"/>
      <c r="P301" s="63"/>
      <c r="Q301" s="285"/>
      <c r="R301" s="63"/>
      <c r="S301" s="63"/>
      <c r="T301" s="63"/>
      <c r="U301" s="558"/>
      <c r="V301" s="63"/>
      <c r="W301" s="285"/>
      <c r="X301" s="63"/>
      <c r="Y301" s="63"/>
      <c r="Z301" s="63"/>
      <c r="AA301" s="558"/>
      <c r="AB301" s="63"/>
      <c r="AC301" s="285"/>
      <c r="AD301" s="63"/>
      <c r="AE301" s="63"/>
      <c r="AF301" s="63"/>
      <c r="AG301" s="558"/>
      <c r="AH301" s="63"/>
    </row>
    <row r="302" spans="1:34">
      <c r="A302" s="282" t="s">
        <v>589</v>
      </c>
      <c r="B302" s="283"/>
      <c r="C302" s="283"/>
      <c r="D302" s="283"/>
      <c r="E302" s="283"/>
      <c r="F302" s="552"/>
      <c r="G302" s="554"/>
      <c r="H302" s="284"/>
      <c r="I302" s="284"/>
      <c r="J302" s="285"/>
      <c r="K302" s="285"/>
      <c r="L302" s="285"/>
      <c r="M302" s="285"/>
      <c r="N302" s="285"/>
      <c r="O302" s="558"/>
      <c r="P302" s="285"/>
      <c r="Q302" s="285"/>
      <c r="R302" s="285"/>
      <c r="S302" s="285"/>
      <c r="T302" s="285"/>
      <c r="U302" s="558"/>
      <c r="V302" s="285"/>
      <c r="W302" s="285"/>
      <c r="X302" s="285"/>
      <c r="Y302" s="285"/>
      <c r="Z302" s="285"/>
      <c r="AA302" s="558"/>
      <c r="AB302" s="285"/>
      <c r="AC302" s="285"/>
      <c r="AD302" s="285"/>
      <c r="AE302" s="285"/>
      <c r="AF302" s="285"/>
      <c r="AG302" s="558"/>
      <c r="AH302" s="63"/>
    </row>
    <row r="303" spans="1:34" ht="255">
      <c r="A303" s="76" t="s">
        <v>590</v>
      </c>
      <c r="B303" s="58" t="s">
        <v>161</v>
      </c>
      <c r="C303" s="58" t="s">
        <v>591</v>
      </c>
      <c r="D303" s="58" t="s">
        <v>163</v>
      </c>
      <c r="E303" s="58" t="s">
        <v>592</v>
      </c>
      <c r="F303" s="552" t="s">
        <v>156</v>
      </c>
      <c r="G303" s="555" t="s">
        <v>593</v>
      </c>
      <c r="H303" s="152"/>
      <c r="I303" s="280"/>
      <c r="J303" s="63"/>
      <c r="K303" s="63"/>
      <c r="L303" s="63"/>
      <c r="M303" s="63">
        <v>3655.1844843897802</v>
      </c>
      <c r="N303" s="63"/>
      <c r="O303" s="558">
        <f>SUM(J303:N303)</f>
        <v>3655.1844843897802</v>
      </c>
      <c r="P303" s="63"/>
      <c r="Q303" s="285"/>
      <c r="R303" s="63"/>
      <c r="S303" s="63">
        <v>3440.1844843897802</v>
      </c>
      <c r="T303" s="63"/>
      <c r="U303" s="558">
        <f>SUM(P303:T303)</f>
        <v>3440.1844843897802</v>
      </c>
      <c r="V303" s="63"/>
      <c r="W303" s="285"/>
      <c r="X303" s="63"/>
      <c r="Y303" s="63"/>
      <c r="Z303" s="63"/>
      <c r="AA303" s="558"/>
      <c r="AB303" s="63"/>
      <c r="AC303" s="285"/>
      <c r="AD303" s="63"/>
      <c r="AE303" s="63"/>
      <c r="AF303" s="63"/>
      <c r="AG303" s="558"/>
      <c r="AH303" s="63"/>
    </row>
    <row r="304" spans="1:34">
      <c r="A304" s="286" t="s">
        <v>594</v>
      </c>
      <c r="B304" s="287"/>
      <c r="C304" s="287"/>
      <c r="D304" s="288"/>
      <c r="E304" s="288"/>
      <c r="F304" s="556"/>
      <c r="G304" s="557"/>
      <c r="H304" s="287"/>
      <c r="I304" s="287"/>
      <c r="J304" s="275"/>
      <c r="K304" s="275"/>
      <c r="L304" s="275"/>
      <c r="M304" s="275"/>
      <c r="N304" s="275"/>
      <c r="O304" s="558"/>
      <c r="P304" s="275"/>
      <c r="Q304" s="631"/>
      <c r="R304" s="275"/>
      <c r="S304" s="275"/>
      <c r="T304" s="275"/>
      <c r="U304" s="558"/>
      <c r="V304" s="275"/>
      <c r="W304" s="631"/>
      <c r="X304" s="275"/>
      <c r="Y304" s="275"/>
      <c r="Z304" s="275"/>
      <c r="AA304" s="558"/>
      <c r="AB304" s="275"/>
      <c r="AC304" s="631"/>
      <c r="AD304" s="275"/>
      <c r="AE304" s="275"/>
      <c r="AF304" s="275"/>
      <c r="AG304" s="558"/>
      <c r="AH304" s="63"/>
    </row>
    <row r="305" spans="1:34" ht="25.5">
      <c r="A305" s="76" t="s">
        <v>595</v>
      </c>
      <c r="B305" s="290"/>
      <c r="C305" s="290"/>
      <c r="D305" s="279"/>
      <c r="E305" s="279"/>
      <c r="F305" s="552"/>
      <c r="G305" s="554"/>
      <c r="H305" s="280"/>
      <c r="I305" s="280"/>
      <c r="J305" s="63"/>
      <c r="K305" s="63"/>
      <c r="L305" s="63"/>
      <c r="M305" s="63"/>
      <c r="N305" s="63"/>
      <c r="O305" s="558"/>
      <c r="P305" s="63"/>
      <c r="Q305" s="285"/>
      <c r="R305" s="63"/>
      <c r="S305" s="63"/>
      <c r="T305" s="63"/>
      <c r="U305" s="558"/>
      <c r="V305" s="63"/>
      <c r="W305" s="285"/>
      <c r="X305" s="63"/>
      <c r="Y305" s="63"/>
      <c r="Z305" s="63"/>
      <c r="AA305" s="558"/>
      <c r="AB305" s="63"/>
      <c r="AC305" s="285"/>
      <c r="AD305" s="63"/>
      <c r="AE305" s="63"/>
      <c r="AF305" s="63"/>
      <c r="AG305" s="558"/>
      <c r="AH305" s="63"/>
    </row>
    <row r="306" spans="1:34">
      <c r="A306" s="278" t="s">
        <v>596</v>
      </c>
      <c r="B306" s="280"/>
      <c r="C306" s="280"/>
      <c r="D306" s="279"/>
      <c r="E306" s="279"/>
      <c r="F306" s="552"/>
      <c r="G306" s="554"/>
      <c r="H306" s="280"/>
      <c r="I306" s="280"/>
      <c r="J306" s="63"/>
      <c r="K306" s="63"/>
      <c r="L306" s="63"/>
      <c r="M306" s="63"/>
      <c r="N306" s="63"/>
      <c r="O306" s="558"/>
      <c r="P306" s="63"/>
      <c r="Q306" s="285"/>
      <c r="R306" s="63"/>
      <c r="S306" s="63"/>
      <c r="T306" s="63"/>
      <c r="U306" s="558"/>
      <c r="V306" s="63"/>
      <c r="W306" s="285"/>
      <c r="X306" s="63"/>
      <c r="Y306" s="63"/>
      <c r="Z306" s="63"/>
      <c r="AA306" s="558"/>
      <c r="AB306" s="63"/>
      <c r="AC306" s="285"/>
      <c r="AD306" s="63"/>
      <c r="AE306" s="63"/>
      <c r="AF306" s="63"/>
      <c r="AG306" s="558"/>
      <c r="AH306" s="63"/>
    </row>
    <row r="307" spans="1:34" ht="25.5">
      <c r="A307" s="76" t="s">
        <v>597</v>
      </c>
      <c r="B307" s="280"/>
      <c r="C307" s="280"/>
      <c r="D307" s="279"/>
      <c r="E307" s="279"/>
      <c r="F307" s="552"/>
      <c r="G307" s="554"/>
      <c r="H307" s="280"/>
      <c r="I307" s="280"/>
      <c r="J307" s="63"/>
      <c r="K307" s="63"/>
      <c r="L307" s="63"/>
      <c r="M307" s="63"/>
      <c r="N307" s="63"/>
      <c r="O307" s="558"/>
      <c r="P307" s="63"/>
      <c r="Q307" s="285"/>
      <c r="R307" s="63"/>
      <c r="S307" s="63"/>
      <c r="T307" s="63"/>
      <c r="U307" s="558"/>
      <c r="V307" s="63"/>
      <c r="W307" s="285"/>
      <c r="X307" s="63"/>
      <c r="Y307" s="63"/>
      <c r="Z307" s="63"/>
      <c r="AA307" s="558"/>
      <c r="AB307" s="63"/>
      <c r="AC307" s="285"/>
      <c r="AD307" s="63"/>
      <c r="AE307" s="63"/>
      <c r="AF307" s="63"/>
      <c r="AG307" s="558"/>
      <c r="AH307" s="63"/>
    </row>
    <row r="308" spans="1:34">
      <c r="A308" s="278" t="s">
        <v>16</v>
      </c>
      <c r="B308" s="279"/>
      <c r="C308" s="279"/>
      <c r="D308" s="279"/>
      <c r="E308" s="279"/>
      <c r="F308" s="552"/>
      <c r="G308" s="554"/>
      <c r="H308" s="280"/>
      <c r="I308" s="280"/>
      <c r="J308" s="63"/>
      <c r="K308" s="63"/>
      <c r="L308" s="63"/>
      <c r="M308" s="63"/>
      <c r="N308" s="63"/>
      <c r="O308" s="558"/>
      <c r="P308" s="63"/>
      <c r="Q308" s="285"/>
      <c r="R308" s="63"/>
      <c r="S308" s="63"/>
      <c r="T308" s="63"/>
      <c r="U308" s="558"/>
      <c r="V308" s="63"/>
      <c r="W308" s="285"/>
      <c r="X308" s="63"/>
      <c r="Y308" s="63"/>
      <c r="Z308" s="63"/>
      <c r="AA308" s="558"/>
      <c r="AB308" s="63"/>
      <c r="AC308" s="285"/>
      <c r="AD308" s="63"/>
      <c r="AE308" s="63"/>
      <c r="AF308" s="63"/>
      <c r="AG308" s="558"/>
      <c r="AH308" s="63"/>
    </row>
    <row r="309" spans="1:34" ht="38.25">
      <c r="A309" s="76" t="s">
        <v>582</v>
      </c>
      <c r="B309" s="279"/>
      <c r="C309" s="279"/>
      <c r="D309" s="279"/>
      <c r="E309" s="279"/>
      <c r="F309" s="552"/>
      <c r="G309" s="554"/>
      <c r="H309" s="280"/>
      <c r="I309" s="280"/>
      <c r="J309" s="63"/>
      <c r="K309" s="63"/>
      <c r="L309" s="63"/>
      <c r="M309" s="63"/>
      <c r="N309" s="63"/>
      <c r="O309" s="558"/>
      <c r="P309" s="63"/>
      <c r="Q309" s="285"/>
      <c r="R309" s="63"/>
      <c r="S309" s="63"/>
      <c r="T309" s="63"/>
      <c r="U309" s="558"/>
      <c r="V309" s="63"/>
      <c r="W309" s="285"/>
      <c r="X309" s="63"/>
      <c r="Y309" s="63"/>
      <c r="Z309" s="63"/>
      <c r="AA309" s="558"/>
      <c r="AB309" s="63"/>
      <c r="AC309" s="285"/>
      <c r="AD309" s="63"/>
      <c r="AE309" s="63"/>
      <c r="AF309" s="63"/>
      <c r="AG309" s="558"/>
      <c r="AH309" s="63"/>
    </row>
    <row r="310" spans="1:34">
      <c r="A310" s="281" t="s">
        <v>362</v>
      </c>
      <c r="B310" s="279"/>
      <c r="C310" s="279"/>
      <c r="D310" s="279"/>
      <c r="E310" s="279"/>
      <c r="F310" s="552"/>
      <c r="G310" s="554"/>
      <c r="H310" s="280"/>
      <c r="I310" s="280"/>
      <c r="J310" s="63"/>
      <c r="K310" s="63"/>
      <c r="L310" s="63"/>
      <c r="M310" s="63"/>
      <c r="N310" s="63"/>
      <c r="O310" s="558"/>
      <c r="P310" s="63"/>
      <c r="Q310" s="285"/>
      <c r="R310" s="63"/>
      <c r="S310" s="63"/>
      <c r="T310" s="63"/>
      <c r="U310" s="558"/>
      <c r="V310" s="63"/>
      <c r="W310" s="285"/>
      <c r="X310" s="63"/>
      <c r="Y310" s="63"/>
      <c r="Z310" s="63"/>
      <c r="AA310" s="558"/>
      <c r="AB310" s="63"/>
      <c r="AC310" s="285"/>
      <c r="AD310" s="63"/>
      <c r="AE310" s="63"/>
      <c r="AF310" s="63"/>
      <c r="AG310" s="558"/>
      <c r="AH310" s="63"/>
    </row>
    <row r="311" spans="1:34" ht="25.5">
      <c r="A311" s="76" t="s">
        <v>583</v>
      </c>
      <c r="B311" s="58"/>
      <c r="C311" s="58"/>
      <c r="D311" s="279"/>
      <c r="E311" s="279"/>
      <c r="F311" s="552"/>
      <c r="G311" s="554"/>
      <c r="H311" s="280"/>
      <c r="I311" s="280"/>
      <c r="J311" s="63"/>
      <c r="K311" s="63"/>
      <c r="L311" s="63"/>
      <c r="M311" s="63"/>
      <c r="N311" s="63"/>
      <c r="O311" s="558"/>
      <c r="P311" s="63"/>
      <c r="Q311" s="285"/>
      <c r="R311" s="63"/>
      <c r="S311" s="63"/>
      <c r="T311" s="63"/>
      <c r="U311" s="558"/>
      <c r="V311" s="63"/>
      <c r="W311" s="285"/>
      <c r="X311" s="63"/>
      <c r="Y311" s="63"/>
      <c r="Z311" s="63"/>
      <c r="AA311" s="558"/>
      <c r="AB311" s="63"/>
      <c r="AC311" s="285"/>
      <c r="AD311" s="63"/>
      <c r="AE311" s="63"/>
      <c r="AF311" s="63"/>
      <c r="AG311" s="558"/>
      <c r="AH311" s="63"/>
    </row>
    <row r="312" spans="1:34" ht="344.25">
      <c r="A312" s="76" t="s">
        <v>598</v>
      </c>
      <c r="B312" s="58" t="s">
        <v>161</v>
      </c>
      <c r="C312" s="58" t="s">
        <v>599</v>
      </c>
      <c r="D312" s="4" t="s">
        <v>80</v>
      </c>
      <c r="E312" s="4" t="s">
        <v>155</v>
      </c>
      <c r="F312" s="555" t="s">
        <v>600</v>
      </c>
      <c r="G312" s="555" t="s">
        <v>593</v>
      </c>
      <c r="H312" s="4" t="s">
        <v>601</v>
      </c>
      <c r="I312" s="280"/>
      <c r="J312" s="63">
        <v>250000</v>
      </c>
      <c r="K312" s="63"/>
      <c r="L312" s="63"/>
      <c r="M312" s="63"/>
      <c r="N312" s="63"/>
      <c r="O312" s="558">
        <f>SUM(J312:N312)</f>
        <v>250000</v>
      </c>
      <c r="P312" s="63">
        <v>250000</v>
      </c>
      <c r="Q312" s="285"/>
      <c r="R312" s="63"/>
      <c r="S312" s="63"/>
      <c r="T312" s="63"/>
      <c r="U312" s="558">
        <f t="shared" ref="U312:U320" si="22">SUM(P312:T312)</f>
        <v>250000</v>
      </c>
      <c r="V312" s="63">
        <v>250000</v>
      </c>
      <c r="W312" s="285"/>
      <c r="X312" s="63"/>
      <c r="Y312" s="63"/>
      <c r="Z312" s="63"/>
      <c r="AA312" s="558">
        <f t="shared" ref="AA312:AA320" si="23">SUM(V312:Z312)</f>
        <v>250000</v>
      </c>
      <c r="AB312" s="63"/>
      <c r="AC312" s="285"/>
      <c r="AD312" s="63"/>
      <c r="AE312" s="63"/>
      <c r="AF312" s="63"/>
      <c r="AG312" s="558"/>
      <c r="AH312" s="63">
        <f>SUM(J312+P312+V312+AB312)</f>
        <v>750000</v>
      </c>
    </row>
    <row r="313" spans="1:34" ht="191.25">
      <c r="A313" s="76" t="s">
        <v>602</v>
      </c>
      <c r="B313" s="58" t="s">
        <v>153</v>
      </c>
      <c r="C313" s="58" t="s">
        <v>172</v>
      </c>
      <c r="D313" s="58" t="s">
        <v>80</v>
      </c>
      <c r="E313" s="58" t="s">
        <v>155</v>
      </c>
      <c r="F313" s="552" t="s">
        <v>156</v>
      </c>
      <c r="G313" s="555" t="s">
        <v>593</v>
      </c>
      <c r="H313" s="4" t="s">
        <v>603</v>
      </c>
      <c r="I313" s="280"/>
      <c r="J313" s="63">
        <v>14848</v>
      </c>
      <c r="K313" s="63"/>
      <c r="L313" s="63"/>
      <c r="M313" s="63"/>
      <c r="N313" s="63"/>
      <c r="O313" s="558">
        <f>SUM(J313:N313)</f>
        <v>14848</v>
      </c>
      <c r="P313" s="63">
        <v>33027</v>
      </c>
      <c r="Q313" s="285"/>
      <c r="R313" s="63"/>
      <c r="S313" s="63"/>
      <c r="T313" s="63"/>
      <c r="U313" s="558">
        <f t="shared" si="22"/>
        <v>33027</v>
      </c>
      <c r="V313" s="63">
        <v>8000</v>
      </c>
      <c r="W313" s="285"/>
      <c r="X313" s="63"/>
      <c r="Y313" s="63"/>
      <c r="Z313" s="63"/>
      <c r="AA313" s="558">
        <f t="shared" si="23"/>
        <v>8000</v>
      </c>
      <c r="AB313" s="63">
        <v>55000</v>
      </c>
      <c r="AC313" s="285"/>
      <c r="AD313" s="63"/>
      <c r="AE313" s="63"/>
      <c r="AF313" s="63"/>
      <c r="AG313" s="558">
        <f t="shared" ref="AG313:AG320" si="24">SUM(AB313:AF313)</f>
        <v>55000</v>
      </c>
      <c r="AH313" s="63">
        <f>SUM(J313+P313+V313+AB313)</f>
        <v>110875</v>
      </c>
    </row>
    <row r="314" spans="1:34" ht="280.5">
      <c r="A314" s="76" t="s">
        <v>604</v>
      </c>
      <c r="B314" s="58" t="s">
        <v>153</v>
      </c>
      <c r="C314" s="58" t="s">
        <v>173</v>
      </c>
      <c r="D314" s="58" t="s">
        <v>80</v>
      </c>
      <c r="E314" s="58" t="s">
        <v>155</v>
      </c>
      <c r="F314" s="552" t="s">
        <v>156</v>
      </c>
      <c r="G314" s="555" t="s">
        <v>593</v>
      </c>
      <c r="H314" s="4" t="s">
        <v>603</v>
      </c>
      <c r="I314" s="280"/>
      <c r="J314" s="63">
        <v>14933</v>
      </c>
      <c r="K314" s="63"/>
      <c r="L314" s="63"/>
      <c r="M314" s="63"/>
      <c r="N314" s="63"/>
      <c r="O314" s="558">
        <f>SUM(J314:N314)</f>
        <v>14933</v>
      </c>
      <c r="P314" s="63">
        <v>16426</v>
      </c>
      <c r="Q314" s="285"/>
      <c r="R314" s="63"/>
      <c r="S314" s="63"/>
      <c r="T314" s="63"/>
      <c r="U314" s="558">
        <f t="shared" si="22"/>
        <v>16426</v>
      </c>
      <c r="V314" s="63">
        <v>18068</v>
      </c>
      <c r="W314" s="285"/>
      <c r="X314" s="63"/>
      <c r="Y314" s="63"/>
      <c r="Z314" s="63"/>
      <c r="AA314" s="558">
        <f t="shared" si="23"/>
        <v>18068</v>
      </c>
      <c r="AB314" s="63">
        <v>19875</v>
      </c>
      <c r="AC314" s="285"/>
      <c r="AD314" s="63"/>
      <c r="AE314" s="63"/>
      <c r="AF314" s="63"/>
      <c r="AG314" s="558">
        <f t="shared" si="24"/>
        <v>19875</v>
      </c>
      <c r="AH314" s="63">
        <f>SUM(J314+P314+V314+AB314)</f>
        <v>69302</v>
      </c>
    </row>
    <row r="315" spans="1:34">
      <c r="A315" s="281" t="s">
        <v>605</v>
      </c>
      <c r="B315" s="279"/>
      <c r="C315" s="279"/>
      <c r="D315" s="279"/>
      <c r="E315" s="279"/>
      <c r="F315" s="552"/>
      <c r="G315" s="554"/>
      <c r="H315" s="280"/>
      <c r="I315" s="280"/>
      <c r="J315" s="63"/>
      <c r="K315" s="63"/>
      <c r="L315" s="63"/>
      <c r="M315" s="63"/>
      <c r="N315" s="63"/>
      <c r="O315" s="558"/>
      <c r="P315" s="63"/>
      <c r="Q315" s="285"/>
      <c r="R315" s="63"/>
      <c r="S315" s="63"/>
      <c r="T315" s="63"/>
      <c r="U315" s="558"/>
      <c r="V315" s="63"/>
      <c r="W315" s="285"/>
      <c r="X315" s="63"/>
      <c r="Y315" s="63"/>
      <c r="Z315" s="63"/>
      <c r="AA315" s="558"/>
      <c r="AB315" s="63"/>
      <c r="AC315" s="285"/>
      <c r="AD315" s="63"/>
      <c r="AE315" s="63"/>
      <c r="AF315" s="63"/>
      <c r="AG315" s="558"/>
      <c r="AH315" s="63"/>
    </row>
    <row r="316" spans="1:34" ht="38.25">
      <c r="A316" s="76" t="s">
        <v>606</v>
      </c>
      <c r="B316" s="58"/>
      <c r="C316" s="58"/>
      <c r="D316" s="279"/>
      <c r="E316" s="279"/>
      <c r="F316" s="552"/>
      <c r="G316" s="554"/>
      <c r="H316" s="280"/>
      <c r="I316" s="280"/>
      <c r="J316" s="63"/>
      <c r="K316" s="63"/>
      <c r="L316" s="63"/>
      <c r="M316" s="63"/>
      <c r="N316" s="63"/>
      <c r="O316" s="558"/>
      <c r="P316" s="63"/>
      <c r="Q316" s="285"/>
      <c r="R316" s="63"/>
      <c r="S316" s="63"/>
      <c r="T316" s="63"/>
      <c r="U316" s="558"/>
      <c r="V316" s="63"/>
      <c r="W316" s="285"/>
      <c r="X316" s="63"/>
      <c r="Y316" s="63"/>
      <c r="Z316" s="63"/>
      <c r="AA316" s="558"/>
      <c r="AB316" s="63"/>
      <c r="AC316" s="285"/>
      <c r="AD316" s="63"/>
      <c r="AE316" s="63"/>
      <c r="AF316" s="63"/>
      <c r="AG316" s="558"/>
      <c r="AH316" s="63"/>
    </row>
    <row r="317" spans="1:34" ht="357">
      <c r="A317" s="76" t="s">
        <v>607</v>
      </c>
      <c r="B317" s="58" t="s">
        <v>161</v>
      </c>
      <c r="C317" s="58" t="s">
        <v>182</v>
      </c>
      <c r="D317" s="58" t="s">
        <v>80</v>
      </c>
      <c r="E317" s="58" t="s">
        <v>155</v>
      </c>
      <c r="F317" s="552" t="s">
        <v>156</v>
      </c>
      <c r="G317" s="558" t="s">
        <v>608</v>
      </c>
      <c r="H317" s="4" t="s">
        <v>603</v>
      </c>
      <c r="I317" s="280"/>
      <c r="J317" s="63">
        <v>12469.8</v>
      </c>
      <c r="K317" s="63"/>
      <c r="L317" s="63"/>
      <c r="M317" s="63"/>
      <c r="N317" s="63"/>
      <c r="O317" s="558">
        <f>SUM(J317:N317)</f>
        <v>12469.8</v>
      </c>
      <c r="P317" s="63">
        <v>148988</v>
      </c>
      <c r="Q317" s="285"/>
      <c r="R317" s="63"/>
      <c r="S317" s="63"/>
      <c r="T317" s="63"/>
      <c r="U317" s="558">
        <f t="shared" si="22"/>
        <v>148988</v>
      </c>
      <c r="V317" s="63">
        <v>154670.29999999999</v>
      </c>
      <c r="W317" s="285"/>
      <c r="X317" s="63"/>
      <c r="Y317" s="63"/>
      <c r="Z317" s="63"/>
      <c r="AA317" s="558">
        <f t="shared" si="23"/>
        <v>154670.29999999999</v>
      </c>
      <c r="AB317" s="63">
        <v>159788.29999999999</v>
      </c>
      <c r="AC317" s="285"/>
      <c r="AD317" s="63"/>
      <c r="AE317" s="63"/>
      <c r="AF317" s="63"/>
      <c r="AG317" s="558">
        <f t="shared" si="24"/>
        <v>159788.29999999999</v>
      </c>
      <c r="AH317" s="63">
        <f>SUM(J317+P317+V317+AB317)</f>
        <v>475916.39999999997</v>
      </c>
    </row>
    <row r="318" spans="1:34" ht="140.25">
      <c r="A318" s="76" t="s">
        <v>609</v>
      </c>
      <c r="B318" s="58" t="s">
        <v>161</v>
      </c>
      <c r="C318" s="58" t="s">
        <v>192</v>
      </c>
      <c r="D318" s="58" t="s">
        <v>80</v>
      </c>
      <c r="E318" s="58" t="s">
        <v>155</v>
      </c>
      <c r="F318" s="552" t="s">
        <v>156</v>
      </c>
      <c r="G318" s="558" t="s">
        <v>608</v>
      </c>
      <c r="H318" s="4" t="s">
        <v>603</v>
      </c>
      <c r="I318" s="280"/>
      <c r="J318" s="63">
        <v>4913</v>
      </c>
      <c r="K318" s="63"/>
      <c r="L318" s="63"/>
      <c r="M318" s="63"/>
      <c r="N318" s="63"/>
      <c r="O318" s="558">
        <f>SUM(J318:N318)</f>
        <v>4913</v>
      </c>
      <c r="P318" s="63">
        <v>5268</v>
      </c>
      <c r="Q318" s="285"/>
      <c r="R318" s="63"/>
      <c r="S318" s="63"/>
      <c r="T318" s="63"/>
      <c r="U318" s="558">
        <f t="shared" si="22"/>
        <v>5268</v>
      </c>
      <c r="V318" s="63">
        <v>4318</v>
      </c>
      <c r="W318" s="285"/>
      <c r="X318" s="63"/>
      <c r="Y318" s="63"/>
      <c r="Z318" s="63"/>
      <c r="AA318" s="558">
        <f t="shared" si="23"/>
        <v>4318</v>
      </c>
      <c r="AB318" s="63">
        <v>4318</v>
      </c>
      <c r="AC318" s="285"/>
      <c r="AD318" s="63"/>
      <c r="AE318" s="63"/>
      <c r="AF318" s="63"/>
      <c r="AG318" s="558">
        <f t="shared" si="24"/>
        <v>4318</v>
      </c>
      <c r="AH318" s="63">
        <f>SUM(J318+P318+V318+AB318)</f>
        <v>18817</v>
      </c>
    </row>
    <row r="319" spans="1:34" ht="242.25">
      <c r="A319" s="76" t="s">
        <v>610</v>
      </c>
      <c r="B319" s="58" t="s">
        <v>161</v>
      </c>
      <c r="C319" s="58" t="s">
        <v>185</v>
      </c>
      <c r="D319" s="672" t="s">
        <v>372</v>
      </c>
      <c r="E319" s="58" t="s">
        <v>186</v>
      </c>
      <c r="F319" s="552" t="s">
        <v>156</v>
      </c>
      <c r="G319" s="558" t="s">
        <v>608</v>
      </c>
      <c r="H319" s="4" t="s">
        <v>603</v>
      </c>
      <c r="I319" s="280"/>
      <c r="J319" s="63">
        <v>3360.13</v>
      </c>
      <c r="K319" s="63"/>
      <c r="L319" s="63"/>
      <c r="M319" s="63"/>
      <c r="N319" s="63"/>
      <c r="O319" s="558">
        <f>SUM(J319:N319)</f>
        <v>3360.13</v>
      </c>
      <c r="P319" s="63">
        <v>6840</v>
      </c>
      <c r="Q319" s="285"/>
      <c r="R319" s="63"/>
      <c r="S319" s="63"/>
      <c r="T319" s="63"/>
      <c r="U319" s="558">
        <f t="shared" si="22"/>
        <v>6840</v>
      </c>
      <c r="V319" s="63">
        <v>7305</v>
      </c>
      <c r="W319" s="285"/>
      <c r="X319" s="63"/>
      <c r="Y319" s="63"/>
      <c r="Z319" s="63"/>
      <c r="AA319" s="558">
        <f t="shared" si="23"/>
        <v>7305</v>
      </c>
      <c r="AB319" s="63">
        <v>8050</v>
      </c>
      <c r="AC319" s="285"/>
      <c r="AD319" s="63"/>
      <c r="AE319" s="63"/>
      <c r="AF319" s="63"/>
      <c r="AG319" s="558">
        <f t="shared" si="24"/>
        <v>8050</v>
      </c>
      <c r="AH319" s="63">
        <f>SUM(J319+P319+V319+AB319)</f>
        <v>25555.13</v>
      </c>
    </row>
    <row r="320" spans="1:34" ht="191.25">
      <c r="A320" s="76" t="s">
        <v>611</v>
      </c>
      <c r="B320" s="58" t="s">
        <v>153</v>
      </c>
      <c r="C320" s="58" t="s">
        <v>188</v>
      </c>
      <c r="D320" s="58" t="s">
        <v>80</v>
      </c>
      <c r="E320" s="58" t="s">
        <v>155</v>
      </c>
      <c r="F320" s="552" t="s">
        <v>156</v>
      </c>
      <c r="G320" s="558" t="s">
        <v>608</v>
      </c>
      <c r="H320" s="4" t="s">
        <v>603</v>
      </c>
      <c r="I320" s="280"/>
      <c r="J320" s="63">
        <v>1200</v>
      </c>
      <c r="K320" s="63"/>
      <c r="L320" s="63"/>
      <c r="M320" s="63"/>
      <c r="N320" s="63"/>
      <c r="O320" s="558">
        <f>SUM(J320:N320)</f>
        <v>1200</v>
      </c>
      <c r="P320" s="63">
        <v>1300</v>
      </c>
      <c r="Q320" s="285"/>
      <c r="R320" s="63"/>
      <c r="S320" s="63"/>
      <c r="T320" s="63"/>
      <c r="U320" s="558">
        <f t="shared" si="22"/>
        <v>1300</v>
      </c>
      <c r="V320" s="63">
        <v>1400</v>
      </c>
      <c r="W320" s="285"/>
      <c r="X320" s="63"/>
      <c r="Y320" s="63"/>
      <c r="Z320" s="63"/>
      <c r="AA320" s="558">
        <f t="shared" si="23"/>
        <v>1400</v>
      </c>
      <c r="AB320" s="63">
        <v>1500</v>
      </c>
      <c r="AC320" s="285"/>
      <c r="AD320" s="63"/>
      <c r="AE320" s="63"/>
      <c r="AF320" s="63"/>
      <c r="AG320" s="558">
        <f t="shared" si="24"/>
        <v>1500</v>
      </c>
      <c r="AH320" s="63">
        <f>SUM(J320+P320+V320+AB320)</f>
        <v>5400</v>
      </c>
    </row>
    <row r="321" spans="1:34">
      <c r="A321" s="291" t="s">
        <v>612</v>
      </c>
      <c r="B321" s="292"/>
      <c r="C321" s="292"/>
      <c r="D321" s="292"/>
      <c r="E321" s="292"/>
      <c r="F321" s="559"/>
      <c r="G321" s="554"/>
      <c r="H321" s="280"/>
      <c r="I321" s="280"/>
      <c r="J321" s="63"/>
      <c r="K321" s="63"/>
      <c r="L321" s="63"/>
      <c r="M321" s="63"/>
      <c r="N321" s="63"/>
      <c r="O321" s="558"/>
      <c r="P321" s="63"/>
      <c r="Q321" s="285"/>
      <c r="R321" s="63"/>
      <c r="S321" s="63"/>
      <c r="T321" s="63"/>
      <c r="U321" s="558"/>
      <c r="V321" s="63"/>
      <c r="W321" s="285"/>
      <c r="X321" s="63"/>
      <c r="Y321" s="63"/>
      <c r="Z321" s="63"/>
      <c r="AA321" s="558"/>
      <c r="AB321" s="63"/>
      <c r="AC321" s="285"/>
      <c r="AD321" s="63"/>
      <c r="AE321" s="63"/>
      <c r="AF321" s="63"/>
      <c r="AG321" s="558"/>
      <c r="AH321" s="63"/>
    </row>
    <row r="322" spans="1:34" ht="25.5">
      <c r="A322" s="76" t="s">
        <v>613</v>
      </c>
      <c r="B322" s="279"/>
      <c r="C322" s="279"/>
      <c r="D322" s="279"/>
      <c r="E322" s="279"/>
      <c r="F322" s="552"/>
      <c r="G322" s="554"/>
      <c r="H322" s="280"/>
      <c r="I322" s="280"/>
      <c r="J322" s="63"/>
      <c r="K322" s="63"/>
      <c r="L322" s="63"/>
      <c r="M322" s="63"/>
      <c r="N322" s="63"/>
      <c r="O322" s="558"/>
      <c r="P322" s="63"/>
      <c r="Q322" s="285"/>
      <c r="R322" s="63"/>
      <c r="S322" s="63"/>
      <c r="T322" s="63"/>
      <c r="U322" s="558"/>
      <c r="V322" s="63"/>
      <c r="W322" s="285"/>
      <c r="X322" s="63"/>
      <c r="Y322" s="63"/>
      <c r="Z322" s="63"/>
      <c r="AA322" s="558"/>
      <c r="AB322" s="63"/>
      <c r="AC322" s="285"/>
      <c r="AD322" s="63"/>
      <c r="AE322" s="63"/>
      <c r="AF322" s="63"/>
      <c r="AG322" s="558"/>
      <c r="AH322" s="63"/>
    </row>
    <row r="323" spans="1:34">
      <c r="A323" s="278" t="s">
        <v>16</v>
      </c>
      <c r="B323" s="279"/>
      <c r="C323" s="279"/>
      <c r="D323" s="279"/>
      <c r="E323" s="279"/>
      <c r="F323" s="552"/>
      <c r="G323" s="554"/>
      <c r="H323" s="280"/>
      <c r="I323" s="280"/>
      <c r="J323" s="63"/>
      <c r="K323" s="63"/>
      <c r="L323" s="63"/>
      <c r="M323" s="63"/>
      <c r="N323" s="63"/>
      <c r="O323" s="558"/>
      <c r="P323" s="63"/>
      <c r="Q323" s="285"/>
      <c r="R323" s="63"/>
      <c r="S323" s="63"/>
      <c r="T323" s="63"/>
      <c r="U323" s="558"/>
      <c r="V323" s="63"/>
      <c r="W323" s="285"/>
      <c r="X323" s="63"/>
      <c r="Y323" s="63"/>
      <c r="Z323" s="63"/>
      <c r="AA323" s="558"/>
      <c r="AB323" s="63"/>
      <c r="AC323" s="285"/>
      <c r="AD323" s="63"/>
      <c r="AE323" s="63"/>
      <c r="AF323" s="63"/>
      <c r="AG323" s="558"/>
      <c r="AH323" s="63"/>
    </row>
    <row r="324" spans="1:34" ht="38.25">
      <c r="A324" s="76" t="s">
        <v>582</v>
      </c>
      <c r="B324" s="279"/>
      <c r="C324" s="279"/>
      <c r="D324" s="279"/>
      <c r="E324" s="279"/>
      <c r="F324" s="552"/>
      <c r="G324" s="554"/>
      <c r="H324" s="280"/>
      <c r="I324" s="280"/>
      <c r="J324" s="63"/>
      <c r="K324" s="63"/>
      <c r="L324" s="63"/>
      <c r="M324" s="63"/>
      <c r="N324" s="63"/>
      <c r="O324" s="558"/>
      <c r="P324" s="63"/>
      <c r="Q324" s="285"/>
      <c r="R324" s="63"/>
      <c r="S324" s="63"/>
      <c r="T324" s="63"/>
      <c r="U324" s="558"/>
      <c r="V324" s="63"/>
      <c r="W324" s="285"/>
      <c r="X324" s="63"/>
      <c r="Y324" s="63"/>
      <c r="Z324" s="63"/>
      <c r="AA324" s="558"/>
      <c r="AB324" s="63"/>
      <c r="AC324" s="285"/>
      <c r="AD324" s="63"/>
      <c r="AE324" s="63"/>
      <c r="AF324" s="63"/>
      <c r="AG324" s="558"/>
      <c r="AH324" s="63"/>
    </row>
    <row r="325" spans="1:34">
      <c r="A325" s="278" t="s">
        <v>614</v>
      </c>
      <c r="B325" s="279"/>
      <c r="C325" s="279"/>
      <c r="D325" s="279"/>
      <c r="E325" s="279"/>
      <c r="F325" s="552"/>
      <c r="G325" s="554"/>
      <c r="H325" s="280"/>
      <c r="I325" s="280"/>
      <c r="J325" s="63"/>
      <c r="K325" s="63"/>
      <c r="L325" s="63"/>
      <c r="M325" s="63"/>
      <c r="N325" s="63"/>
      <c r="O325" s="558"/>
      <c r="P325" s="63"/>
      <c r="Q325" s="285"/>
      <c r="R325" s="63"/>
      <c r="S325" s="63"/>
      <c r="T325" s="63"/>
      <c r="U325" s="558"/>
      <c r="V325" s="63"/>
      <c r="W325" s="285"/>
      <c r="X325" s="63"/>
      <c r="Y325" s="63"/>
      <c r="Z325" s="63"/>
      <c r="AA325" s="558"/>
      <c r="AB325" s="63"/>
      <c r="AC325" s="285"/>
      <c r="AD325" s="63"/>
      <c r="AE325" s="63"/>
      <c r="AF325" s="63"/>
      <c r="AG325" s="558"/>
      <c r="AH325" s="63"/>
    </row>
    <row r="326" spans="1:34" ht="25.5">
      <c r="A326" s="76" t="s">
        <v>583</v>
      </c>
      <c r="B326" s="279"/>
      <c r="C326" s="279"/>
      <c r="D326" s="279"/>
      <c r="E326" s="279"/>
      <c r="F326" s="552"/>
      <c r="G326" s="554"/>
      <c r="H326" s="280"/>
      <c r="I326" s="280"/>
      <c r="J326" s="63"/>
      <c r="K326" s="63"/>
      <c r="L326" s="63"/>
      <c r="M326" s="63"/>
      <c r="N326" s="63"/>
      <c r="O326" s="558"/>
      <c r="P326" s="63"/>
      <c r="Q326" s="285"/>
      <c r="R326" s="63"/>
      <c r="S326" s="63"/>
      <c r="T326" s="63"/>
      <c r="U326" s="558"/>
      <c r="V326" s="63"/>
      <c r="W326" s="285"/>
      <c r="X326" s="63"/>
      <c r="Y326" s="63"/>
      <c r="Z326" s="63"/>
      <c r="AA326" s="558"/>
      <c r="AB326" s="63"/>
      <c r="AC326" s="285"/>
      <c r="AD326" s="63"/>
      <c r="AE326" s="63"/>
      <c r="AF326" s="63"/>
      <c r="AG326" s="558"/>
      <c r="AH326" s="63"/>
    </row>
    <row r="327" spans="1:34" ht="229.5">
      <c r="A327" s="76" t="s">
        <v>615</v>
      </c>
      <c r="B327" s="58" t="s">
        <v>153</v>
      </c>
      <c r="C327" s="58" t="s">
        <v>190</v>
      </c>
      <c r="D327" s="58" t="s">
        <v>80</v>
      </c>
      <c r="E327" s="58" t="s">
        <v>155</v>
      </c>
      <c r="F327" s="552" t="s">
        <v>156</v>
      </c>
      <c r="G327" s="558" t="s">
        <v>593</v>
      </c>
      <c r="H327" s="4" t="s">
        <v>601</v>
      </c>
      <c r="I327" s="280"/>
      <c r="J327" s="63">
        <v>22000</v>
      </c>
      <c r="K327" s="63"/>
      <c r="L327" s="63"/>
      <c r="M327" s="63"/>
      <c r="N327" s="63"/>
      <c r="O327" s="558">
        <f>SUM(J327:N327)</f>
        <v>22000</v>
      </c>
      <c r="P327" s="63">
        <v>22000</v>
      </c>
      <c r="Q327" s="285"/>
      <c r="R327" s="63"/>
      <c r="S327" s="63"/>
      <c r="T327" s="63"/>
      <c r="U327" s="558">
        <f>SUM(P327:T327)</f>
        <v>22000</v>
      </c>
      <c r="V327" s="63">
        <v>33621</v>
      </c>
      <c r="W327" s="285"/>
      <c r="X327" s="63"/>
      <c r="Y327" s="63"/>
      <c r="Z327" s="63"/>
      <c r="AA327" s="558">
        <f>SUM(V327:Z327)</f>
        <v>33621</v>
      </c>
      <c r="AB327" s="63">
        <v>34234</v>
      </c>
      <c r="AC327" s="285"/>
      <c r="AD327" s="63"/>
      <c r="AE327" s="63"/>
      <c r="AF327" s="63"/>
      <c r="AG327" s="558">
        <f>SUM(AB327:AF327)</f>
        <v>34234</v>
      </c>
      <c r="AH327" s="63">
        <f>SUM(J327+P327+V327+AB327)</f>
        <v>111855</v>
      </c>
    </row>
    <row r="328" spans="1:34">
      <c r="A328" s="172" t="s">
        <v>616</v>
      </c>
      <c r="B328" s="58"/>
      <c r="C328" s="58"/>
      <c r="D328" s="58"/>
      <c r="E328" s="58"/>
      <c r="F328" s="552"/>
      <c r="G328" s="558"/>
      <c r="H328" s="4"/>
      <c r="I328" s="280"/>
      <c r="J328" s="63"/>
      <c r="K328" s="63"/>
      <c r="L328" s="63"/>
      <c r="M328" s="63"/>
      <c r="N328" s="63"/>
      <c r="O328" s="558"/>
      <c r="P328" s="63"/>
      <c r="Q328" s="285"/>
      <c r="R328" s="63"/>
      <c r="S328" s="63"/>
      <c r="T328" s="63"/>
      <c r="U328" s="558"/>
      <c r="V328" s="63"/>
      <c r="W328" s="285"/>
      <c r="X328" s="63"/>
      <c r="Y328" s="63"/>
      <c r="Z328" s="63"/>
      <c r="AA328" s="558"/>
      <c r="AB328" s="63"/>
      <c r="AC328" s="285"/>
      <c r="AD328" s="63"/>
      <c r="AE328" s="63"/>
      <c r="AF328" s="63"/>
      <c r="AG328" s="558"/>
      <c r="AH328" s="63"/>
    </row>
    <row r="329" spans="1:34" ht="25.5">
      <c r="A329" s="294" t="s">
        <v>617</v>
      </c>
      <c r="B329" s="58"/>
      <c r="C329" s="58"/>
      <c r="D329" s="58"/>
      <c r="E329" s="58"/>
      <c r="F329" s="552"/>
      <c r="G329" s="558"/>
      <c r="H329" s="4"/>
      <c r="I329" s="280"/>
      <c r="J329" s="63"/>
      <c r="K329" s="63"/>
      <c r="L329" s="63"/>
      <c r="M329" s="63"/>
      <c r="N329" s="63"/>
      <c r="O329" s="558"/>
      <c r="P329" s="63"/>
      <c r="Q329" s="285"/>
      <c r="R329" s="63"/>
      <c r="S329" s="63"/>
      <c r="T329" s="63"/>
      <c r="U329" s="558"/>
      <c r="V329" s="63"/>
      <c r="W329" s="285"/>
      <c r="X329" s="63"/>
      <c r="Y329" s="63"/>
      <c r="Z329" s="63"/>
      <c r="AA329" s="558"/>
      <c r="AB329" s="63"/>
      <c r="AC329" s="285"/>
      <c r="AD329" s="63"/>
      <c r="AE329" s="63"/>
      <c r="AF329" s="63"/>
      <c r="AG329" s="558"/>
      <c r="AH329" s="63"/>
    </row>
    <row r="330" spans="1:34">
      <c r="A330" s="172" t="s">
        <v>618</v>
      </c>
      <c r="B330" s="58"/>
      <c r="C330" s="58"/>
      <c r="D330" s="58"/>
      <c r="E330" s="58"/>
      <c r="F330" s="552"/>
      <c r="G330" s="558"/>
      <c r="H330" s="4"/>
      <c r="I330" s="280"/>
      <c r="J330" s="63"/>
      <c r="K330" s="63"/>
      <c r="L330" s="63"/>
      <c r="M330" s="63"/>
      <c r="N330" s="63"/>
      <c r="O330" s="558"/>
      <c r="P330" s="63"/>
      <c r="Q330" s="285"/>
      <c r="R330" s="63"/>
      <c r="S330" s="63"/>
      <c r="T330" s="63"/>
      <c r="U330" s="558"/>
      <c r="V330" s="63"/>
      <c r="W330" s="285"/>
      <c r="X330" s="63"/>
      <c r="Y330" s="63"/>
      <c r="Z330" s="63"/>
      <c r="AA330" s="558"/>
      <c r="AB330" s="63"/>
      <c r="AC330" s="285"/>
      <c r="AD330" s="63"/>
      <c r="AE330" s="63"/>
      <c r="AF330" s="63"/>
      <c r="AG330" s="558"/>
      <c r="AH330" s="63"/>
    </row>
    <row r="331" spans="1:34" ht="25.5">
      <c r="A331" s="294" t="s">
        <v>619</v>
      </c>
      <c r="B331" s="58"/>
      <c r="C331" s="58"/>
      <c r="D331" s="58"/>
      <c r="E331" s="58"/>
      <c r="F331" s="552"/>
      <c r="G331" s="558"/>
      <c r="H331" s="4"/>
      <c r="I331" s="280"/>
      <c r="J331" s="63"/>
      <c r="K331" s="63"/>
      <c r="L331" s="63"/>
      <c r="M331" s="63"/>
      <c r="N331" s="63"/>
      <c r="O331" s="558"/>
      <c r="P331" s="63"/>
      <c r="Q331" s="285"/>
      <c r="R331" s="63"/>
      <c r="S331" s="63"/>
      <c r="T331" s="63"/>
      <c r="U331" s="558"/>
      <c r="V331" s="63"/>
      <c r="W331" s="285"/>
      <c r="X331" s="63"/>
      <c r="Y331" s="63"/>
      <c r="Z331" s="63"/>
      <c r="AA331" s="558"/>
      <c r="AB331" s="63"/>
      <c r="AC331" s="285"/>
      <c r="AD331" s="63"/>
      <c r="AE331" s="63"/>
      <c r="AF331" s="63"/>
      <c r="AG331" s="558"/>
      <c r="AH331" s="63"/>
    </row>
    <row r="332" spans="1:34">
      <c r="A332" s="172" t="s">
        <v>486</v>
      </c>
      <c r="B332" s="58"/>
      <c r="C332" s="58"/>
      <c r="D332" s="58"/>
      <c r="E332" s="58"/>
      <c r="F332" s="552"/>
      <c r="G332" s="558"/>
      <c r="H332" s="4"/>
      <c r="I332" s="280"/>
      <c r="J332" s="63"/>
      <c r="K332" s="63"/>
      <c r="L332" s="63"/>
      <c r="M332" s="63"/>
      <c r="N332" s="63"/>
      <c r="O332" s="558"/>
      <c r="P332" s="63"/>
      <c r="Q332" s="285"/>
      <c r="R332" s="63"/>
      <c r="S332" s="63"/>
      <c r="T332" s="63"/>
      <c r="U332" s="558"/>
      <c r="V332" s="63"/>
      <c r="W332" s="285"/>
      <c r="X332" s="63"/>
      <c r="Y332" s="63"/>
      <c r="Z332" s="63"/>
      <c r="AA332" s="558"/>
      <c r="AB332" s="63"/>
      <c r="AC332" s="285"/>
      <c r="AD332" s="63"/>
      <c r="AE332" s="63"/>
      <c r="AF332" s="63"/>
      <c r="AG332" s="558"/>
      <c r="AH332" s="63"/>
    </row>
    <row r="333" spans="1:34" ht="38.25">
      <c r="A333" s="294" t="s">
        <v>582</v>
      </c>
      <c r="B333" s="58"/>
      <c r="C333" s="58"/>
      <c r="D333" s="58"/>
      <c r="E333" s="58"/>
      <c r="F333" s="552"/>
      <c r="G333" s="558"/>
      <c r="H333" s="4"/>
      <c r="I333" s="280"/>
      <c r="J333" s="63"/>
      <c r="K333" s="63"/>
      <c r="L333" s="63"/>
      <c r="M333" s="63"/>
      <c r="N333" s="63"/>
      <c r="O333" s="558"/>
      <c r="P333" s="63"/>
      <c r="Q333" s="285"/>
      <c r="R333" s="63"/>
      <c r="S333" s="63"/>
      <c r="T333" s="63"/>
      <c r="U333" s="558"/>
      <c r="V333" s="63"/>
      <c r="W333" s="285"/>
      <c r="X333" s="63"/>
      <c r="Y333" s="63"/>
      <c r="Z333" s="63"/>
      <c r="AA333" s="558"/>
      <c r="AB333" s="63"/>
      <c r="AC333" s="285"/>
      <c r="AD333" s="63"/>
      <c r="AE333" s="63"/>
      <c r="AF333" s="63"/>
      <c r="AG333" s="558"/>
      <c r="AH333" s="63"/>
    </row>
    <row r="334" spans="1:34">
      <c r="A334" s="172" t="s">
        <v>588</v>
      </c>
      <c r="B334" s="58"/>
      <c r="C334" s="58"/>
      <c r="D334" s="58"/>
      <c r="E334" s="58"/>
      <c r="F334" s="552"/>
      <c r="G334" s="558"/>
      <c r="H334" s="4"/>
      <c r="I334" s="280"/>
      <c r="J334" s="63"/>
      <c r="K334" s="63"/>
      <c r="L334" s="63"/>
      <c r="M334" s="63"/>
      <c r="N334" s="63"/>
      <c r="O334" s="558"/>
      <c r="P334" s="63"/>
      <c r="Q334" s="285"/>
      <c r="R334" s="63"/>
      <c r="S334" s="63"/>
      <c r="T334" s="63"/>
      <c r="U334" s="558"/>
      <c r="V334" s="63"/>
      <c r="W334" s="285"/>
      <c r="X334" s="63"/>
      <c r="Y334" s="63"/>
      <c r="Z334" s="63"/>
      <c r="AA334" s="558"/>
      <c r="AB334" s="63"/>
      <c r="AC334" s="285"/>
      <c r="AD334" s="63"/>
      <c r="AE334" s="63"/>
      <c r="AF334" s="63"/>
      <c r="AG334" s="558"/>
      <c r="AH334" s="63"/>
    </row>
    <row r="335" spans="1:34" ht="25.5">
      <c r="A335" s="294" t="s">
        <v>620</v>
      </c>
      <c r="B335" s="58"/>
      <c r="C335" s="58"/>
      <c r="D335" s="58"/>
      <c r="E335" s="58"/>
      <c r="F335" s="552"/>
      <c r="G335" s="558"/>
      <c r="H335" s="4"/>
      <c r="I335" s="280"/>
      <c r="J335" s="63"/>
      <c r="K335" s="63"/>
      <c r="L335" s="63"/>
      <c r="M335" s="63"/>
      <c r="N335" s="63"/>
      <c r="O335" s="558"/>
      <c r="P335" s="63"/>
      <c r="Q335" s="285"/>
      <c r="R335" s="63"/>
      <c r="S335" s="63"/>
      <c r="T335" s="63"/>
      <c r="U335" s="558"/>
      <c r="V335" s="63"/>
      <c r="W335" s="285"/>
      <c r="X335" s="63"/>
      <c r="Y335" s="63"/>
      <c r="Z335" s="63"/>
      <c r="AA335" s="558"/>
      <c r="AB335" s="63"/>
      <c r="AC335" s="285"/>
      <c r="AD335" s="63"/>
      <c r="AE335" s="63"/>
      <c r="AF335" s="63"/>
      <c r="AG335" s="558"/>
      <c r="AH335" s="63"/>
    </row>
    <row r="336" spans="1:34">
      <c r="A336" s="277" t="s">
        <v>8</v>
      </c>
      <c r="B336" s="277"/>
      <c r="C336" s="277"/>
      <c r="D336" s="277"/>
      <c r="E336" s="277"/>
      <c r="F336" s="560"/>
      <c r="G336" s="561"/>
      <c r="H336" s="307"/>
      <c r="I336" s="307"/>
      <c r="J336" s="308">
        <v>326847</v>
      </c>
      <c r="K336" s="308">
        <f>SUM(K286:K335)</f>
        <v>0</v>
      </c>
      <c r="L336" s="308">
        <f>SUM(L286:L335)</f>
        <v>0</v>
      </c>
      <c r="M336" s="308">
        <v>3655</v>
      </c>
      <c r="N336" s="308">
        <f>SUM(N286:N335)</f>
        <v>0</v>
      </c>
      <c r="O336" s="606">
        <v>326874</v>
      </c>
      <c r="P336" s="308"/>
      <c r="Q336" s="632">
        <f>SUM(Q286:Q335)</f>
        <v>0</v>
      </c>
      <c r="R336" s="308">
        <f>SUM(R286:R335)</f>
        <v>0</v>
      </c>
      <c r="S336" s="308">
        <v>3440</v>
      </c>
      <c r="T336" s="308">
        <f>SUM(T286:T335)</f>
        <v>0</v>
      </c>
      <c r="U336" s="606">
        <v>483849</v>
      </c>
      <c r="V336" s="308">
        <v>477382</v>
      </c>
      <c r="W336" s="632">
        <f>SUM(W286:W335)</f>
        <v>0</v>
      </c>
      <c r="X336" s="308">
        <f>SUM(X286:X335)</f>
        <v>0</v>
      </c>
      <c r="Y336" s="308">
        <f>SUM(Y286:Y335)</f>
        <v>0</v>
      </c>
      <c r="Z336" s="308">
        <f>SUM(Z286:Z335)</f>
        <v>0</v>
      </c>
      <c r="AA336" s="606">
        <v>477382</v>
      </c>
      <c r="AB336" s="308">
        <v>282765</v>
      </c>
      <c r="AC336" s="632">
        <f>SUM(AC286:AC335)</f>
        <v>0</v>
      </c>
      <c r="AD336" s="308">
        <f>SUM(AD286:AD335)</f>
        <v>0</v>
      </c>
      <c r="AE336" s="308">
        <f>SUM(AE286:AE335)</f>
        <v>0</v>
      </c>
      <c r="AF336" s="308">
        <f>SUM(AF286:AF335)</f>
        <v>0</v>
      </c>
      <c r="AG336" s="606">
        <v>282765</v>
      </c>
      <c r="AH336" s="308">
        <v>1577938</v>
      </c>
    </row>
    <row r="337" spans="1:35">
      <c r="F337" s="629"/>
      <c r="G337" s="629"/>
      <c r="J337" s="441">
        <f>SUM(J287:J335)</f>
        <v>323723.93</v>
      </c>
      <c r="K337" s="441">
        <f t="shared" ref="K337:AI337" si="25">SUM(K287:K335)</f>
        <v>0</v>
      </c>
      <c r="L337" s="441">
        <f t="shared" si="25"/>
        <v>0</v>
      </c>
      <c r="M337" s="441">
        <f>SUM(M287:M335)</f>
        <v>3655.1844843897802</v>
      </c>
      <c r="N337" s="441">
        <f t="shared" si="25"/>
        <v>0</v>
      </c>
      <c r="O337" s="441">
        <f>SUM(O287:O335)</f>
        <v>327379.11448438978</v>
      </c>
      <c r="P337" s="441">
        <f>SUM(P287:P335)</f>
        <v>483849</v>
      </c>
      <c r="Q337" s="441">
        <f t="shared" si="25"/>
        <v>0</v>
      </c>
      <c r="R337" s="441">
        <f t="shared" si="25"/>
        <v>0</v>
      </c>
      <c r="S337" s="441">
        <f>SUM(S287:S335)</f>
        <v>3440.1844843897802</v>
      </c>
      <c r="T337" s="441">
        <f t="shared" si="25"/>
        <v>0</v>
      </c>
      <c r="U337" s="607">
        <f>SUM(U287:U335)</f>
        <v>487289.18448438979</v>
      </c>
      <c r="V337" s="441">
        <f>SUM(V287:V335)</f>
        <v>477382.3</v>
      </c>
      <c r="W337" s="633">
        <f t="shared" si="25"/>
        <v>0</v>
      </c>
      <c r="X337" s="441">
        <f t="shared" si="25"/>
        <v>0</v>
      </c>
      <c r="Y337" s="441">
        <f t="shared" si="25"/>
        <v>0</v>
      </c>
      <c r="Z337" s="441">
        <f t="shared" si="25"/>
        <v>0</v>
      </c>
      <c r="AA337" s="607">
        <f t="shared" si="25"/>
        <v>477382.3</v>
      </c>
      <c r="AB337" s="441">
        <f t="shared" si="25"/>
        <v>282765.3</v>
      </c>
      <c r="AC337" s="633">
        <f t="shared" si="25"/>
        <v>0</v>
      </c>
      <c r="AD337" s="441">
        <f t="shared" si="25"/>
        <v>0</v>
      </c>
      <c r="AE337" s="441">
        <f t="shared" si="25"/>
        <v>0</v>
      </c>
      <c r="AF337" s="441">
        <f t="shared" si="25"/>
        <v>0</v>
      </c>
      <c r="AG337" s="607">
        <f t="shared" si="25"/>
        <v>282765.3</v>
      </c>
      <c r="AH337" s="441">
        <f>SUM(AG337+AA337+U337+O337)</f>
        <v>1574815.8989687795</v>
      </c>
      <c r="AI337" s="607">
        <f t="shared" si="25"/>
        <v>0</v>
      </c>
    </row>
    <row r="338" spans="1:35">
      <c r="F338" s="629"/>
      <c r="G338" s="629"/>
      <c r="Q338" s="629"/>
      <c r="W338" s="629"/>
      <c r="AC338" s="629"/>
    </row>
    <row r="339" spans="1:35">
      <c r="F339" s="629"/>
      <c r="G339" s="629"/>
      <c r="O339" s="401">
        <f>SUM(J337:N337)</f>
        <v>327379.11448438978</v>
      </c>
      <c r="Q339" s="629"/>
      <c r="U339" s="401">
        <f>SUM(P337:T337)</f>
        <v>487289.18448438979</v>
      </c>
      <c r="W339" s="629"/>
      <c r="AA339" s="401">
        <f>SUM(V337:Z337)</f>
        <v>477382.3</v>
      </c>
      <c r="AC339" s="629"/>
      <c r="AG339" s="401">
        <f>SUM(AB337:AF337)</f>
        <v>282765.3</v>
      </c>
    </row>
    <row r="340" spans="1:35">
      <c r="F340" s="629"/>
      <c r="G340" s="629"/>
      <c r="Q340" s="629"/>
      <c r="W340" s="629"/>
      <c r="AC340" s="629"/>
    </row>
    <row r="341" spans="1:35">
      <c r="A341" s="442" t="s">
        <v>693</v>
      </c>
      <c r="F341" s="629"/>
      <c r="G341" s="629"/>
      <c r="Q341" s="629"/>
      <c r="W341" s="629"/>
      <c r="AC341" s="629"/>
      <c r="AH341" s="443">
        <f>SUM(AH337+AJ277+AJ213+AJ187+AJ133+AJ93+AJ66+AK30)</f>
        <v>27651550.620488778</v>
      </c>
    </row>
    <row r="342" spans="1:35">
      <c r="F342" s="629"/>
      <c r="G342" s="629"/>
      <c r="L342" s="335"/>
      <c r="M342" s="480" t="s">
        <v>1</v>
      </c>
      <c r="N342" s="480" t="s">
        <v>9</v>
      </c>
      <c r="O342" s="480" t="s">
        <v>218</v>
      </c>
      <c r="P342" s="480" t="s">
        <v>17</v>
      </c>
      <c r="Q342" s="627" t="s">
        <v>19</v>
      </c>
      <c r="R342" s="480" t="s">
        <v>18</v>
      </c>
      <c r="W342" s="629"/>
      <c r="AC342" s="629"/>
    </row>
    <row r="343" spans="1:35">
      <c r="F343" s="629"/>
      <c r="G343" s="629"/>
      <c r="L343" s="501">
        <v>2013</v>
      </c>
      <c r="M343" s="500">
        <f>SUM(L30+L66+L93+L133+L187+L213+L277+J337)</f>
        <v>7472395.6159999995</v>
      </c>
      <c r="N343" s="500">
        <f>SUM(M30+M66+M93+M133+M187+M213+M277+K337)</f>
        <v>0</v>
      </c>
      <c r="O343" s="500">
        <f>SUM(N30+N66+N93+N133+N187+N213+N277+L337)</f>
        <v>0</v>
      </c>
      <c r="P343" s="500">
        <f>SUM(O30+O66+O93+O133+O187+O213+O277+M337)</f>
        <v>23555.184484389782</v>
      </c>
      <c r="Q343" s="628">
        <f>SUM(P30+P66+P93+P133+P187+P213+P277+N337)</f>
        <v>500</v>
      </c>
      <c r="R343" s="502">
        <f>SUM(M343:Q343)</f>
        <v>7496450.8004843891</v>
      </c>
      <c r="W343" s="629"/>
      <c r="AC343" s="629"/>
    </row>
    <row r="344" spans="1:35">
      <c r="F344" s="629"/>
      <c r="G344" s="629"/>
      <c r="L344" s="501">
        <v>2014</v>
      </c>
      <c r="M344" s="500">
        <f>SUM(R30+R66+R93+R133+R187+R213+R277+P337)</f>
        <v>8196106.8660000004</v>
      </c>
      <c r="N344" s="500">
        <f>SUM(S30+S66+S93+S133+S187+S213+S277+Q337)</f>
        <v>0</v>
      </c>
      <c r="O344" s="500">
        <f>SUM(T30+T66+T93+T133+T187+T213+T277+R337)</f>
        <v>0</v>
      </c>
      <c r="P344" s="500">
        <f>SUM(U30+U66+U93+U133+U187+U213+U277+S337)</f>
        <v>14940.18448438978</v>
      </c>
      <c r="Q344" s="628">
        <f>SUM(V30+V66+V93+V133+V187+V213+V277+T337)</f>
        <v>500</v>
      </c>
      <c r="R344" s="502">
        <f>SUM(M344:Q344)</f>
        <v>8211547.05048439</v>
      </c>
      <c r="W344" s="629"/>
      <c r="AC344" s="629"/>
      <c r="AG344" s="447" t="s">
        <v>694</v>
      </c>
      <c r="AH344" s="443">
        <f>AH341+'Annex A'!I69</f>
        <v>63651033.342831776</v>
      </c>
    </row>
    <row r="345" spans="1:35">
      <c r="F345" s="629"/>
      <c r="G345" s="629"/>
      <c r="L345" s="501">
        <v>2015</v>
      </c>
      <c r="M345" s="500">
        <f>SUM(X30+X66+X93+X133+X187+X213+X277+V337)</f>
        <v>6255859.1362199998</v>
      </c>
      <c r="N345" s="500">
        <f>SUM(Y30+Y66+Y93+Y133+Y187+Y213+Y277+W337)</f>
        <v>0</v>
      </c>
      <c r="O345" s="500">
        <f>SUM(Z30+Z66+Z93+Z133+Z187+Z213+Z277+X337)</f>
        <v>0</v>
      </c>
      <c r="P345" s="500">
        <f>SUM(AA30+AA66+AA93+AA133+AA187+AA213+AA277+Y337)</f>
        <v>20500</v>
      </c>
      <c r="Q345" s="628">
        <f>SUM(AB30+AB66+AB93+AB133+AB187+AB213+AB277+Z337)</f>
        <v>500</v>
      </c>
      <c r="R345" s="502">
        <f>SUM(M345:Q345)</f>
        <v>6276859.1362199998</v>
      </c>
      <c r="W345" s="629"/>
      <c r="AC345" s="629"/>
      <c r="AG345" t="s">
        <v>695</v>
      </c>
    </row>
    <row r="346" spans="1:35">
      <c r="F346" s="629"/>
      <c r="G346" s="629"/>
      <c r="L346" s="501">
        <v>2016</v>
      </c>
      <c r="M346" s="500">
        <f>SUM(AD30+AD66+AD93+AD133+AD187+AD213+AD277+AB337)</f>
        <v>5623693.6332999999</v>
      </c>
      <c r="N346" s="500">
        <f>SUM(AE30+AE66+AE93+AE133+AE187+AE213+AE277+AC337)</f>
        <v>0</v>
      </c>
      <c r="O346" s="500">
        <f>SUM(AF30+AF66+AF93+AF133+AF187+AF213+AF277+AD337)</f>
        <v>10000</v>
      </c>
      <c r="P346" s="500">
        <f>SUM(AG30+AG66+AG93+AG133+AG187+AG213+AG277+AE337)</f>
        <v>32500</v>
      </c>
      <c r="Q346" s="628">
        <f>SUM(AH30+AH66+AH93+AH133+AH187+AH213+AH277+AF337)</f>
        <v>500</v>
      </c>
      <c r="R346" s="502">
        <f>SUM(M346:Q346)</f>
        <v>5666693.6332999999</v>
      </c>
      <c r="W346" s="629"/>
      <c r="AC346" s="629"/>
      <c r="AG346" t="s">
        <v>696</v>
      </c>
    </row>
    <row r="347" spans="1:35">
      <c r="F347" s="629"/>
      <c r="G347" s="629"/>
      <c r="L347" s="501" t="s">
        <v>18</v>
      </c>
      <c r="M347" s="500">
        <f>SUM(M343:M346)</f>
        <v>27548055.25152</v>
      </c>
      <c r="N347" s="500">
        <f>SUM(N343:N346)</f>
        <v>0</v>
      </c>
      <c r="O347" s="500">
        <f>SUM(O343:O346)</f>
        <v>10000</v>
      </c>
      <c r="P347" s="500">
        <f>SUM(P343:P346)</f>
        <v>91495.36896877957</v>
      </c>
      <c r="Q347" s="628">
        <f>SUM(Q343:Q346)</f>
        <v>2000</v>
      </c>
      <c r="R347" s="502">
        <f>SUM(M347:Q347)</f>
        <v>27651550.620488781</v>
      </c>
      <c r="W347" s="629"/>
      <c r="AC347" s="629"/>
    </row>
    <row r="348" spans="1:35">
      <c r="F348" s="629"/>
      <c r="G348" s="629"/>
      <c r="Q348" s="629"/>
      <c r="R348" s="503">
        <f>SUM(R343:R346)</f>
        <v>27651550.620488778</v>
      </c>
      <c r="W348" s="629"/>
      <c r="AC348" s="629"/>
    </row>
    <row r="349" spans="1:35">
      <c r="F349" s="629"/>
      <c r="G349" s="629"/>
      <c r="Q349" s="629"/>
      <c r="W349" s="629"/>
      <c r="AC349" s="629"/>
    </row>
    <row r="350" spans="1:35">
      <c r="F350" s="629"/>
      <c r="G350" s="629"/>
      <c r="Q350" s="629"/>
      <c r="S350" s="335"/>
      <c r="T350" s="501">
        <v>2013</v>
      </c>
      <c r="U350" s="501">
        <v>2014</v>
      </c>
      <c r="V350" s="501">
        <v>2015</v>
      </c>
      <c r="W350" s="634">
        <v>2016</v>
      </c>
      <c r="X350" s="502" t="s">
        <v>18</v>
      </c>
      <c r="Y350" s="335"/>
      <c r="AC350" s="629"/>
    </row>
    <row r="351" spans="1:35">
      <c r="F351" s="629"/>
      <c r="G351" s="629"/>
      <c r="Q351" s="629"/>
      <c r="S351" s="501" t="s">
        <v>80</v>
      </c>
      <c r="T351" s="504">
        <f>SUM(Q79+Q80+Q83+Q86+Q108+Q131+Q213+O312+O313+O317+O318+O320+O327+Q231+Q240+Q247)</f>
        <v>1401381.8</v>
      </c>
      <c r="U351" s="563">
        <f>SUM(W79+W80+W83+W86+W131+W213+U312+U313+U317+U318+U320+U327+W240+W248)</f>
        <v>2078534.45</v>
      </c>
      <c r="V351" s="563">
        <f>SUM(AC79+AC80+AC83+AC86+AC131+AC213+AA312+AA313+AA317+AA318+AA320+AA327+AC240)</f>
        <v>2226871.52</v>
      </c>
      <c r="W351" s="628">
        <f>SUM(AI79+AI80+AI83+AI86+AI131+AI213+AG313+AG317+AG318+AG320+AG327+AI240)</f>
        <v>2266216.02</v>
      </c>
      <c r="X351" s="504">
        <f>SUM(T351:W351)</f>
        <v>7973003.7899999991</v>
      </c>
      <c r="Y351" s="335"/>
      <c r="AC351" s="629"/>
    </row>
    <row r="352" spans="1:35">
      <c r="F352" s="629"/>
      <c r="G352" s="629"/>
      <c r="Q352" s="629"/>
      <c r="S352" s="501" t="s">
        <v>372</v>
      </c>
      <c r="T352" s="504">
        <f>SUM(Q81+Q119+O303+O319)</f>
        <v>21315.314484389783</v>
      </c>
      <c r="U352" s="563">
        <f>SUM(W81+U303+U319+W265)</f>
        <v>42078.914484389781</v>
      </c>
      <c r="V352" s="563">
        <f>SUM(AC81+AA319+AC265)</f>
        <v>375967.30670000002</v>
      </c>
      <c r="W352" s="671">
        <f>SUM(AI81+AG319+AI265)</f>
        <v>178568.51329999999</v>
      </c>
      <c r="X352" s="504">
        <f>SUM(T352:W352)</f>
        <v>617930.04896877962</v>
      </c>
      <c r="Y352" s="335"/>
      <c r="AC352" s="629"/>
    </row>
    <row r="353" spans="6:29">
      <c r="F353" s="629"/>
      <c r="G353" s="629"/>
      <c r="Q353" s="629"/>
      <c r="S353" s="501" t="s">
        <v>64</v>
      </c>
      <c r="T353" s="335"/>
      <c r="U353" s="335"/>
      <c r="V353" s="335"/>
      <c r="W353" s="635"/>
      <c r="X353" s="504">
        <f t="shared" ref="X353:X360" si="26">SUM(T353:W353)</f>
        <v>0</v>
      </c>
      <c r="Y353" s="335"/>
      <c r="AC353" s="629"/>
    </row>
    <row r="354" spans="6:29">
      <c r="F354" s="629"/>
      <c r="G354" s="629"/>
      <c r="Q354" s="629"/>
      <c r="S354" s="673" t="s">
        <v>655</v>
      </c>
      <c r="T354" s="335">
        <f>SUM(Q251+Q252)</f>
        <v>19900</v>
      </c>
      <c r="U354" s="488">
        <f>SUM(W264)</f>
        <v>56010</v>
      </c>
      <c r="V354" s="674">
        <f>SUM(AC264)</f>
        <v>528380.62352000002</v>
      </c>
      <c r="W354" s="675">
        <f>SUM(AI264)</f>
        <v>924300.41399999999</v>
      </c>
      <c r="X354" s="504">
        <f>SUM(T354:W354)</f>
        <v>1528591.03752</v>
      </c>
      <c r="Y354" s="335"/>
      <c r="AC354" s="629"/>
    </row>
    <row r="355" spans="6:29">
      <c r="F355" s="629"/>
      <c r="G355" s="629"/>
      <c r="Q355" s="629"/>
      <c r="S355" s="335" t="s">
        <v>702</v>
      </c>
      <c r="T355" s="488">
        <f>SUM(Q271)</f>
        <v>15000</v>
      </c>
      <c r="U355" s="335"/>
      <c r="V355" s="335"/>
      <c r="W355" s="635"/>
      <c r="X355" s="504">
        <f>SUM(T355:W355)</f>
        <v>15000</v>
      </c>
      <c r="Y355" s="335"/>
      <c r="AC355" s="629"/>
    </row>
    <row r="356" spans="6:29">
      <c r="F356" s="629"/>
      <c r="G356" s="629"/>
      <c r="Q356" s="629"/>
      <c r="S356" s="501" t="s">
        <v>700</v>
      </c>
      <c r="T356" s="504">
        <v>0</v>
      </c>
      <c r="U356" s="504">
        <v>56778</v>
      </c>
      <c r="V356" s="504">
        <v>0</v>
      </c>
      <c r="W356" s="636">
        <v>0</v>
      </c>
      <c r="X356" s="504">
        <f t="shared" si="26"/>
        <v>56778</v>
      </c>
      <c r="Y356" s="504"/>
      <c r="AC356" s="629"/>
    </row>
    <row r="357" spans="6:29">
      <c r="F357" s="629"/>
      <c r="G357" s="629"/>
      <c r="Q357" s="629"/>
      <c r="S357" s="501"/>
      <c r="T357" s="504"/>
      <c r="U357" s="504"/>
      <c r="V357" s="504"/>
      <c r="W357" s="636"/>
      <c r="X357" s="504">
        <f t="shared" si="26"/>
        <v>0</v>
      </c>
      <c r="Y357" s="504"/>
      <c r="AC357" s="629"/>
    </row>
    <row r="358" spans="6:29">
      <c r="F358" s="629"/>
      <c r="G358" s="629"/>
      <c r="Q358" s="629"/>
      <c r="S358" s="501" t="s">
        <v>701</v>
      </c>
      <c r="T358" s="504">
        <f>SUM(Q107+Q115+Q116+Q130)</f>
        <v>2667419</v>
      </c>
      <c r="U358" s="504">
        <f>SUM(W116+W123+W130)</f>
        <v>4900280</v>
      </c>
      <c r="V358" s="504">
        <f>SUM(AC116)</f>
        <v>789566</v>
      </c>
      <c r="W358" s="636">
        <f>SUM(AI116)</f>
        <v>934648</v>
      </c>
      <c r="X358" s="504">
        <f t="shared" si="26"/>
        <v>9291913</v>
      </c>
      <c r="Y358" s="504"/>
      <c r="AC358" s="629"/>
    </row>
    <row r="359" spans="6:29">
      <c r="F359" s="629"/>
      <c r="G359" s="629"/>
      <c r="Q359" s="629"/>
      <c r="S359" s="501" t="s">
        <v>697</v>
      </c>
      <c r="T359" s="504">
        <f>Q30</f>
        <v>58000</v>
      </c>
      <c r="U359" s="504">
        <f>W30</f>
        <v>453304</v>
      </c>
      <c r="V359" s="504">
        <f>AC30</f>
        <v>1713370</v>
      </c>
      <c r="W359" s="636">
        <f>AI30</f>
        <v>692950</v>
      </c>
      <c r="X359" s="504">
        <f t="shared" si="26"/>
        <v>2917624</v>
      </c>
      <c r="Y359" s="504"/>
      <c r="AC359" s="629"/>
    </row>
    <row r="360" spans="6:29">
      <c r="F360" s="629"/>
      <c r="G360" s="629"/>
      <c r="Q360" s="629"/>
      <c r="S360" s="335" t="s">
        <v>699</v>
      </c>
      <c r="T360" s="504">
        <f>SUM(Q53+Q51+Q141+Q145+Q149+Q153+Q157+Q160+Q168+Q175+Q179+Q182+Q274)</f>
        <v>586635.68599999999</v>
      </c>
      <c r="U360" s="504">
        <f>SUM(W51+W53+W141+W145+W149+W153+W157+W160+W168+W175+W179+W182+W274)</f>
        <v>608135.68599999999</v>
      </c>
      <c r="V360" s="504">
        <f>SUM(AC51+AC53+AC141+AC145+AC149+AC153+AC157+AC160+AC168+AC175+AC179+AC182+AC274)</f>
        <v>624635.68599999999</v>
      </c>
      <c r="W360" s="636">
        <f>SUM(AI51+AI53+AI141+AI145+AI149+AI153+AI157+AI160+AI168+AI175+AI179+AI182+AI274)</f>
        <v>650135.68599999999</v>
      </c>
      <c r="X360" s="504">
        <f t="shared" si="26"/>
        <v>2469542.7439999999</v>
      </c>
      <c r="Y360" s="504"/>
      <c r="AC360" s="629"/>
    </row>
    <row r="361" spans="6:29">
      <c r="F361" s="629"/>
      <c r="G361" s="629"/>
      <c r="Q361" s="629"/>
      <c r="S361" s="335" t="s">
        <v>18</v>
      </c>
      <c r="T361" s="504">
        <f>SUM(T351:T360)</f>
        <v>4769651.80048439</v>
      </c>
      <c r="U361" s="504">
        <f>SUM(U351:U360)</f>
        <v>8195121.05048439</v>
      </c>
      <c r="V361" s="504">
        <f>SUM(V351:V360)</f>
        <v>6258791.1362199998</v>
      </c>
      <c r="W361" s="504">
        <f>SUM(W351:W360)</f>
        <v>5646818.6332999999</v>
      </c>
      <c r="X361" s="504">
        <f>SUM(T361:W361)</f>
        <v>24870382.620488778</v>
      </c>
      <c r="Y361" s="504"/>
      <c r="AC361" s="629"/>
    </row>
    <row r="362" spans="6:29">
      <c r="F362" s="629"/>
      <c r="G362" s="629"/>
      <c r="Q362" s="629"/>
      <c r="S362" s="335"/>
      <c r="T362" s="504"/>
      <c r="U362" s="504"/>
      <c r="V362" s="504"/>
      <c r="W362" s="636"/>
      <c r="X362" s="504">
        <f>SUM(X351:X360)</f>
        <v>24870382.620488778</v>
      </c>
      <c r="Y362" s="504"/>
      <c r="AA362" s="498"/>
      <c r="AC362" s="629"/>
    </row>
    <row r="364" spans="6:29">
      <c r="X364" s="487">
        <f>R348-X362</f>
        <v>2781168</v>
      </c>
    </row>
  </sheetData>
  <mergeCells count="222">
    <mergeCell ref="A4:A6"/>
    <mergeCell ref="D4:D6"/>
    <mergeCell ref="E4:E6"/>
    <mergeCell ref="F4:G4"/>
    <mergeCell ref="H4:H6"/>
    <mergeCell ref="I4:I6"/>
    <mergeCell ref="J4:J6"/>
    <mergeCell ref="K4:K6"/>
    <mergeCell ref="L4:AH4"/>
    <mergeCell ref="F5:F6"/>
    <mergeCell ref="G5:G6"/>
    <mergeCell ref="L5:Q5"/>
    <mergeCell ref="R5:W5"/>
    <mergeCell ref="X5:AC5"/>
    <mergeCell ref="AD5:AH5"/>
    <mergeCell ref="H32:H34"/>
    <mergeCell ref="I32:I34"/>
    <mergeCell ref="J32:J34"/>
    <mergeCell ref="K32:K34"/>
    <mergeCell ref="L32:Q32"/>
    <mergeCell ref="X32:AC32"/>
    <mergeCell ref="AD32:AH32"/>
    <mergeCell ref="L33:Q33"/>
    <mergeCell ref="A31:D31"/>
    <mergeCell ref="A32:A34"/>
    <mergeCell ref="B32:B34"/>
    <mergeCell ref="C32:C34"/>
    <mergeCell ref="D32:D34"/>
    <mergeCell ref="E32:E34"/>
    <mergeCell ref="AF53:AF55"/>
    <mergeCell ref="H53:H55"/>
    <mergeCell ref="I53:I55"/>
    <mergeCell ref="R32:W32"/>
    <mergeCell ref="R53:R55"/>
    <mergeCell ref="S53:S55"/>
    <mergeCell ref="O53:O55"/>
    <mergeCell ref="D45:D46"/>
    <mergeCell ref="D53:D55"/>
    <mergeCell ref="E53:E55"/>
    <mergeCell ref="F53:F55"/>
    <mergeCell ref="G53:G55"/>
    <mergeCell ref="R33:W33"/>
    <mergeCell ref="X33:AC33"/>
    <mergeCell ref="AD33:AH33"/>
    <mergeCell ref="J53:J55"/>
    <mergeCell ref="K53:K55"/>
    <mergeCell ref="L53:L55"/>
    <mergeCell ref="T53:T55"/>
    <mergeCell ref="Q53:Q55"/>
    <mergeCell ref="P53:P55"/>
    <mergeCell ref="W53:W55"/>
    <mergeCell ref="AG53:AG55"/>
    <mergeCell ref="F32:G33"/>
    <mergeCell ref="Z53:Z55"/>
    <mergeCell ref="A70:A72"/>
    <mergeCell ref="D70:D72"/>
    <mergeCell ref="E70:E72"/>
    <mergeCell ref="F70:G70"/>
    <mergeCell ref="H70:H72"/>
    <mergeCell ref="I70:I72"/>
    <mergeCell ref="K70:K72"/>
    <mergeCell ref="L70:AH70"/>
    <mergeCell ref="F71:F72"/>
    <mergeCell ref="M53:M55"/>
    <mergeCell ref="N53:N55"/>
    <mergeCell ref="AA53:AA55"/>
    <mergeCell ref="AB53:AB55"/>
    <mergeCell ref="AC53:AC55"/>
    <mergeCell ref="U53:U55"/>
    <mergeCell ref="V53:V55"/>
    <mergeCell ref="X53:X55"/>
    <mergeCell ref="Y53:Y55"/>
    <mergeCell ref="AH53:AH55"/>
    <mergeCell ref="B64:B65"/>
    <mergeCell ref="B69:I69"/>
    <mergeCell ref="AD53:AD55"/>
    <mergeCell ref="AE53:AE55"/>
    <mergeCell ref="G71:G72"/>
    <mergeCell ref="L71:Q71"/>
    <mergeCell ref="R71:W71"/>
    <mergeCell ref="X71:AC71"/>
    <mergeCell ref="AD71:AH71"/>
    <mergeCell ref="D86:D87"/>
    <mergeCell ref="E86:E89"/>
    <mergeCell ref="F86:F89"/>
    <mergeCell ref="G86:G89"/>
    <mergeCell ref="D88:D89"/>
    <mergeCell ref="L86:L89"/>
    <mergeCell ref="M86:M89"/>
    <mergeCell ref="N86:N89"/>
    <mergeCell ref="J70:J72"/>
    <mergeCell ref="P86:P89"/>
    <mergeCell ref="AH86:AH89"/>
    <mergeCell ref="W86:W89"/>
    <mergeCell ref="X86:X89"/>
    <mergeCell ref="Y86:Y89"/>
    <mergeCell ref="Z86:Z89"/>
    <mergeCell ref="AA86:AA89"/>
    <mergeCell ref="AB86:AB89"/>
    <mergeCell ref="AC86:AC89"/>
    <mergeCell ref="AG86:AG89"/>
    <mergeCell ref="R98:W98"/>
    <mergeCell ref="X98:AC98"/>
    <mergeCell ref="D97:D99"/>
    <mergeCell ref="E97:E99"/>
    <mergeCell ref="U86:U89"/>
    <mergeCell ref="V86:V89"/>
    <mergeCell ref="K86:K89"/>
    <mergeCell ref="I97:I99"/>
    <mergeCell ref="H97:H99"/>
    <mergeCell ref="O86:O89"/>
    <mergeCell ref="K97:K99"/>
    <mergeCell ref="L97:AH97"/>
    <mergeCell ref="AD98:AH98"/>
    <mergeCell ref="J86:J89"/>
    <mergeCell ref="Q86:Q89"/>
    <mergeCell ref="R86:R89"/>
    <mergeCell ref="S86:S89"/>
    <mergeCell ref="L191:AH191"/>
    <mergeCell ref="T86:T89"/>
    <mergeCell ref="F97:G97"/>
    <mergeCell ref="J97:J99"/>
    <mergeCell ref="A113:J113"/>
    <mergeCell ref="A120:J120"/>
    <mergeCell ref="A121:D121"/>
    <mergeCell ref="A122:J122"/>
    <mergeCell ref="A101:E101"/>
    <mergeCell ref="A102:E102"/>
    <mergeCell ref="A103:J103"/>
    <mergeCell ref="A104:D104"/>
    <mergeCell ref="A105:D105"/>
    <mergeCell ref="A110:E110"/>
    <mergeCell ref="A111:J111"/>
    <mergeCell ref="A112:J112"/>
    <mergeCell ref="I86:I89"/>
    <mergeCell ref="AD86:AD89"/>
    <mergeCell ref="AE86:AE89"/>
    <mergeCell ref="AF86:AF89"/>
    <mergeCell ref="A98:A99"/>
    <mergeCell ref="F98:F99"/>
    <mergeCell ref="G98:G99"/>
    <mergeCell ref="L98:Q98"/>
    <mergeCell ref="L138:Q138"/>
    <mergeCell ref="R138:W138"/>
    <mergeCell ref="X138:AC138"/>
    <mergeCell ref="AD138:AH138"/>
    <mergeCell ref="H137:H139"/>
    <mergeCell ref="I137:I139"/>
    <mergeCell ref="J137:J139"/>
    <mergeCell ref="K137:K139"/>
    <mergeCell ref="L137:Q137"/>
    <mergeCell ref="R137:W137"/>
    <mergeCell ref="X137:AC137"/>
    <mergeCell ref="AD137:AH137"/>
    <mergeCell ref="E191:E193"/>
    <mergeCell ref="F191:G191"/>
    <mergeCell ref="I191:I193"/>
    <mergeCell ref="H191:H193"/>
    <mergeCell ref="F138:F139"/>
    <mergeCell ref="G138:G139"/>
    <mergeCell ref="E137:E139"/>
    <mergeCell ref="K191:K193"/>
    <mergeCell ref="F137:G137"/>
    <mergeCell ref="V283:AA283"/>
    <mergeCell ref="AB283:AG283"/>
    <mergeCell ref="I282:I284"/>
    <mergeCell ref="V282:AA282"/>
    <mergeCell ref="AB282:AG282"/>
    <mergeCell ref="A192:A193"/>
    <mergeCell ref="F192:F193"/>
    <mergeCell ref="G192:G193"/>
    <mergeCell ref="L192:Q192"/>
    <mergeCell ref="R192:W192"/>
    <mergeCell ref="X192:AC192"/>
    <mergeCell ref="AD192:AH192"/>
    <mergeCell ref="J219:J221"/>
    <mergeCell ref="A195:E195"/>
    <mergeCell ref="A196:E196"/>
    <mergeCell ref="A197:J197"/>
    <mergeCell ref="A198:D198"/>
    <mergeCell ref="A206:I206"/>
    <mergeCell ref="A207:A209"/>
    <mergeCell ref="G220:G221"/>
    <mergeCell ref="A217:J217"/>
    <mergeCell ref="A219:A221"/>
    <mergeCell ref="J191:J193"/>
    <mergeCell ref="D191:D193"/>
    <mergeCell ref="X220:AC220"/>
    <mergeCell ref="AD220:AH220"/>
    <mergeCell ref="D219:D221"/>
    <mergeCell ref="E219:E221"/>
    <mergeCell ref="F219:G219"/>
    <mergeCell ref="H219:H221"/>
    <mergeCell ref="I219:I221"/>
    <mergeCell ref="J282:O282"/>
    <mergeCell ref="P282:U282"/>
    <mergeCell ref="K219:K221"/>
    <mergeCell ref="L219:AH219"/>
    <mergeCell ref="A124:J124"/>
    <mergeCell ref="A125:J125"/>
    <mergeCell ref="L220:Q220"/>
    <mergeCell ref="A223:D223"/>
    <mergeCell ref="A224:J224"/>
    <mergeCell ref="A282:A284"/>
    <mergeCell ref="A126:J126"/>
    <mergeCell ref="A128:J128"/>
    <mergeCell ref="A137:A139"/>
    <mergeCell ref="B137:B139"/>
    <mergeCell ref="C137:C139"/>
    <mergeCell ref="D137:D139"/>
    <mergeCell ref="J283:O283"/>
    <mergeCell ref="P283:U283"/>
    <mergeCell ref="F220:F221"/>
    <mergeCell ref="B282:B284"/>
    <mergeCell ref="C282:C284"/>
    <mergeCell ref="D282:E282"/>
    <mergeCell ref="F282:F284"/>
    <mergeCell ref="G282:G284"/>
    <mergeCell ref="H282:H284"/>
    <mergeCell ref="D283:D284"/>
    <mergeCell ref="E283:E284"/>
    <mergeCell ref="R220:W220"/>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AK421"/>
  <sheetViews>
    <sheetView topLeftCell="G325" zoomScale="64" zoomScaleNormal="64" workbookViewId="0">
      <selection activeCell="R361" sqref="R361"/>
    </sheetView>
  </sheetViews>
  <sheetFormatPr defaultRowHeight="15"/>
  <cols>
    <col min="1" max="1" width="30.7109375" customWidth="1"/>
    <col min="2" max="2" width="15" customWidth="1"/>
    <col min="3" max="3" width="15.85546875" customWidth="1"/>
    <col min="4" max="4" width="14" customWidth="1"/>
    <col min="5" max="5" width="14.85546875" customWidth="1"/>
    <col min="6" max="6" width="13.140625" customWidth="1"/>
    <col min="7" max="7" width="16.5703125" customWidth="1"/>
    <col min="8" max="8" width="13.28515625" customWidth="1"/>
    <col min="9" max="9" width="16.42578125" customWidth="1"/>
    <col min="10" max="10" width="26.42578125" customWidth="1"/>
    <col min="11" max="11" width="22.85546875" customWidth="1"/>
    <col min="12" max="12" width="25.140625" customWidth="1"/>
    <col min="13" max="13" width="17.28515625" customWidth="1"/>
    <col min="14" max="14" width="18.85546875" bestFit="1" customWidth="1"/>
    <col min="15" max="15" width="20.140625" bestFit="1" customWidth="1"/>
    <col min="16" max="16" width="18.85546875" bestFit="1" customWidth="1"/>
    <col min="17" max="17" width="21.5703125" customWidth="1"/>
    <col min="18" max="18" width="24.5703125" bestFit="1" customWidth="1"/>
    <col min="19" max="19" width="13.7109375" bestFit="1" customWidth="1"/>
    <col min="20" max="20" width="9.28515625" bestFit="1" customWidth="1"/>
    <col min="21" max="21" width="20.140625" bestFit="1" customWidth="1"/>
    <col min="22" max="22" width="18.7109375" bestFit="1" customWidth="1"/>
    <col min="23" max="23" width="21.42578125" customWidth="1"/>
    <col min="24" max="24" width="18.85546875" customWidth="1"/>
    <col min="27" max="27" width="12.7109375" customWidth="1"/>
    <col min="28" max="28" width="14.140625" customWidth="1"/>
    <col min="29" max="29" width="18.28515625" customWidth="1"/>
    <col min="30" max="30" width="17.42578125" customWidth="1"/>
    <col min="31" max="32" width="9.140625" customWidth="1"/>
    <col min="33" max="33" width="13.85546875" customWidth="1"/>
    <col min="34" max="34" width="20.42578125" customWidth="1"/>
    <col min="35" max="35" width="17.42578125" customWidth="1"/>
    <col min="36" max="36" width="31.85546875" bestFit="1" customWidth="1"/>
    <col min="37" max="37" width="17.5703125" customWidth="1"/>
  </cols>
  <sheetData>
    <row r="2" spans="1:36" s="82" customFormat="1" ht="15.75">
      <c r="A2" s="1178" t="s">
        <v>209</v>
      </c>
      <c r="B2" s="1178"/>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row>
    <row r="3" spans="1:36" s="82" customFormat="1" ht="15.75">
      <c r="A3" s="1179"/>
      <c r="B3" s="1179"/>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row>
    <row r="4" spans="1:36" s="82" customFormat="1" ht="15.75">
      <c r="A4" s="1084"/>
      <c r="B4" s="462"/>
      <c r="C4" s="462"/>
      <c r="D4" s="1084" t="s">
        <v>0</v>
      </c>
      <c r="E4" s="1084" t="s">
        <v>210</v>
      </c>
      <c r="F4" s="1098" t="s">
        <v>5</v>
      </c>
      <c r="G4" s="1099"/>
      <c r="H4" s="1084" t="s">
        <v>22</v>
      </c>
      <c r="I4" s="1084" t="s">
        <v>211</v>
      </c>
      <c r="J4" s="1084" t="s">
        <v>212</v>
      </c>
      <c r="K4" s="1084" t="s">
        <v>213</v>
      </c>
      <c r="L4" s="1087" t="s">
        <v>214</v>
      </c>
      <c r="M4" s="1088"/>
      <c r="N4" s="1088"/>
      <c r="O4" s="1088"/>
      <c r="P4" s="1088"/>
      <c r="Q4" s="1088"/>
      <c r="R4" s="1088"/>
      <c r="S4" s="1088"/>
      <c r="T4" s="1088"/>
      <c r="U4" s="1088"/>
      <c r="V4" s="1088"/>
      <c r="W4" s="1088"/>
      <c r="X4" s="1088"/>
      <c r="Y4" s="1088"/>
      <c r="Z4" s="1088"/>
      <c r="AA4" s="1088"/>
      <c r="AB4" s="1088"/>
      <c r="AC4" s="1088"/>
      <c r="AD4" s="1088"/>
      <c r="AE4" s="1088"/>
      <c r="AF4" s="1088"/>
      <c r="AG4" s="1088"/>
      <c r="AH4" s="1088"/>
    </row>
    <row r="5" spans="1:36" s="82" customFormat="1" ht="38.25">
      <c r="A5" s="1085"/>
      <c r="B5" s="463" t="s">
        <v>215</v>
      </c>
      <c r="C5" s="463" t="s">
        <v>216</v>
      </c>
      <c r="D5" s="1085"/>
      <c r="E5" s="1085"/>
      <c r="F5" s="1089" t="s">
        <v>217</v>
      </c>
      <c r="G5" s="1089" t="s">
        <v>6</v>
      </c>
      <c r="H5" s="1085"/>
      <c r="I5" s="1085"/>
      <c r="J5" s="1085"/>
      <c r="K5" s="1085"/>
      <c r="L5" s="1091" t="s">
        <v>12</v>
      </c>
      <c r="M5" s="1092"/>
      <c r="N5" s="1092"/>
      <c r="O5" s="1092"/>
      <c r="P5" s="1092"/>
      <c r="Q5" s="1093"/>
      <c r="R5" s="1091" t="s">
        <v>13</v>
      </c>
      <c r="S5" s="1092"/>
      <c r="T5" s="1092"/>
      <c r="U5" s="1092"/>
      <c r="V5" s="1092"/>
      <c r="W5" s="1093"/>
      <c r="X5" s="1091" t="s">
        <v>14</v>
      </c>
      <c r="Y5" s="1092"/>
      <c r="Z5" s="1092"/>
      <c r="AA5" s="1092"/>
      <c r="AB5" s="1092"/>
      <c r="AC5" s="1093"/>
      <c r="AD5" s="1091" t="s">
        <v>15</v>
      </c>
      <c r="AE5" s="1092"/>
      <c r="AF5" s="1092"/>
      <c r="AG5" s="1092"/>
      <c r="AH5" s="1093"/>
      <c r="AI5" s="315" t="s">
        <v>688</v>
      </c>
      <c r="AJ5" s="315" t="s">
        <v>689</v>
      </c>
    </row>
    <row r="6" spans="1:36" s="82" customFormat="1" ht="25.5">
      <c r="A6" s="1086"/>
      <c r="B6" s="464"/>
      <c r="C6" s="464"/>
      <c r="D6" s="1086"/>
      <c r="E6" s="1086"/>
      <c r="F6" s="1090"/>
      <c r="G6" s="1090"/>
      <c r="H6" s="1086"/>
      <c r="I6" s="1086"/>
      <c r="J6" s="1086"/>
      <c r="K6" s="1086"/>
      <c r="L6" s="96" t="s">
        <v>1</v>
      </c>
      <c r="M6" s="96" t="s">
        <v>9</v>
      </c>
      <c r="N6" s="96" t="s">
        <v>218</v>
      </c>
      <c r="O6" s="96" t="s">
        <v>17</v>
      </c>
      <c r="P6" s="96" t="s">
        <v>19</v>
      </c>
      <c r="Q6" s="681" t="s">
        <v>4</v>
      </c>
      <c r="R6" s="96" t="s">
        <v>1</v>
      </c>
      <c r="S6" s="96" t="s">
        <v>2</v>
      </c>
      <c r="T6" s="96" t="s">
        <v>219</v>
      </c>
      <c r="U6" s="96" t="s">
        <v>17</v>
      </c>
      <c r="V6" s="96" t="s">
        <v>19</v>
      </c>
      <c r="W6" s="681" t="s">
        <v>4</v>
      </c>
      <c r="X6" s="96" t="s">
        <v>1</v>
      </c>
      <c r="Y6" s="96" t="s">
        <v>9</v>
      </c>
      <c r="Z6" s="96" t="s">
        <v>218</v>
      </c>
      <c r="AA6" s="96" t="s">
        <v>17</v>
      </c>
      <c r="AB6" s="96" t="s">
        <v>19</v>
      </c>
      <c r="AC6" s="681" t="s">
        <v>4</v>
      </c>
      <c r="AD6" s="96" t="s">
        <v>1</v>
      </c>
      <c r="AE6" s="96" t="s">
        <v>9</v>
      </c>
      <c r="AF6" s="96" t="s">
        <v>219</v>
      </c>
      <c r="AG6" s="96" t="s">
        <v>17</v>
      </c>
      <c r="AH6" s="681" t="s">
        <v>19</v>
      </c>
      <c r="AI6" s="313"/>
      <c r="AJ6" s="316"/>
    </row>
    <row r="7" spans="1:36" s="82" customFormat="1" ht="15.75">
      <c r="A7" s="464"/>
      <c r="B7" s="464" t="s">
        <v>33</v>
      </c>
      <c r="C7" s="464" t="s">
        <v>34</v>
      </c>
      <c r="D7" s="464" t="s">
        <v>45</v>
      </c>
      <c r="E7" s="466" t="s">
        <v>220</v>
      </c>
      <c r="F7" s="464" t="s">
        <v>36</v>
      </c>
      <c r="G7" s="464" t="s">
        <v>37</v>
      </c>
      <c r="H7" s="464" t="s">
        <v>38</v>
      </c>
      <c r="I7" s="464" t="s">
        <v>39</v>
      </c>
      <c r="J7" s="96" t="s">
        <v>40</v>
      </c>
      <c r="K7" s="96" t="s">
        <v>41</v>
      </c>
      <c r="L7" s="96" t="s">
        <v>221</v>
      </c>
      <c r="M7" s="96" t="s">
        <v>222</v>
      </c>
      <c r="N7" s="96" t="s">
        <v>223</v>
      </c>
      <c r="O7" s="96" t="s">
        <v>224</v>
      </c>
      <c r="P7" s="96" t="s">
        <v>225</v>
      </c>
      <c r="Q7" s="681" t="s">
        <v>226</v>
      </c>
      <c r="R7" s="96" t="s">
        <v>227</v>
      </c>
      <c r="S7" s="96" t="s">
        <v>228</v>
      </c>
      <c r="T7" s="96" t="s">
        <v>229</v>
      </c>
      <c r="U7" s="96" t="s">
        <v>230</v>
      </c>
      <c r="V7" s="96" t="s">
        <v>231</v>
      </c>
      <c r="W7" s="681" t="s">
        <v>232</v>
      </c>
      <c r="X7" s="96" t="s">
        <v>233</v>
      </c>
      <c r="Y7" s="96" t="s">
        <v>234</v>
      </c>
      <c r="Z7" s="96" t="s">
        <v>235</v>
      </c>
      <c r="AA7" s="96" t="s">
        <v>236</v>
      </c>
      <c r="AB7" s="96" t="s">
        <v>237</v>
      </c>
      <c r="AC7" s="681" t="s">
        <v>238</v>
      </c>
      <c r="AD7" s="96" t="s">
        <v>239</v>
      </c>
      <c r="AE7" s="96" t="s">
        <v>240</v>
      </c>
      <c r="AF7" s="96" t="s">
        <v>241</v>
      </c>
      <c r="AG7" s="96" t="s">
        <v>242</v>
      </c>
      <c r="AH7" s="681" t="s">
        <v>243</v>
      </c>
      <c r="AI7" s="313"/>
      <c r="AJ7" s="313"/>
    </row>
    <row r="8" spans="1:36" s="82" customFormat="1" ht="25.5">
      <c r="A8" s="90" t="s">
        <v>244</v>
      </c>
      <c r="B8" s="468"/>
      <c r="C8" s="468"/>
      <c r="D8" s="109"/>
      <c r="E8" s="468"/>
      <c r="F8" s="468"/>
      <c r="G8" s="468"/>
      <c r="H8" s="109"/>
      <c r="I8" s="468"/>
      <c r="J8" s="468"/>
      <c r="K8" s="468"/>
      <c r="L8" s="96"/>
      <c r="M8" s="96"/>
      <c r="N8" s="96"/>
      <c r="O8" s="96"/>
      <c r="P8" s="96"/>
      <c r="Q8" s="681"/>
      <c r="R8" s="96"/>
      <c r="S8" s="96"/>
      <c r="T8" s="96"/>
      <c r="U8" s="96"/>
      <c r="V8" s="96"/>
      <c r="W8" s="681"/>
      <c r="X8" s="96"/>
      <c r="Y8" s="96"/>
      <c r="Z8" s="96"/>
      <c r="AA8" s="96"/>
      <c r="AB8" s="96"/>
      <c r="AC8" s="681"/>
      <c r="AD8" s="96"/>
      <c r="AE8" s="96"/>
      <c r="AF8" s="96"/>
      <c r="AG8" s="96"/>
      <c r="AH8" s="681"/>
      <c r="AI8" s="313"/>
      <c r="AJ8" s="313"/>
    </row>
    <row r="9" spans="1:36" s="82" customFormat="1" ht="267.75">
      <c r="A9" s="4" t="s">
        <v>245</v>
      </c>
      <c r="B9" s="458"/>
      <c r="C9" s="468"/>
      <c r="D9" s="468" t="s">
        <v>209</v>
      </c>
      <c r="E9" s="468"/>
      <c r="F9" s="686"/>
      <c r="G9" s="686"/>
      <c r="H9" s="468" t="s">
        <v>309</v>
      </c>
      <c r="I9" s="468" t="s">
        <v>246</v>
      </c>
      <c r="J9" s="468" t="s">
        <v>247</v>
      </c>
      <c r="K9" s="468"/>
      <c r="L9" s="785"/>
      <c r="M9" s="785"/>
      <c r="N9" s="785"/>
      <c r="O9" s="785"/>
      <c r="P9" s="785"/>
      <c r="Q9" s="786">
        <f>SUM(L9:P9)</f>
        <v>0</v>
      </c>
      <c r="R9" s="785"/>
      <c r="S9" s="785"/>
      <c r="T9" s="785"/>
      <c r="U9" s="785"/>
      <c r="V9" s="785"/>
      <c r="W9" s="786">
        <f>SUM(R9:V9)</f>
        <v>0</v>
      </c>
      <c r="X9" s="785"/>
      <c r="Y9" s="785"/>
      <c r="Z9" s="785"/>
      <c r="AA9" s="785"/>
      <c r="AB9" s="785"/>
      <c r="AC9" s="786">
        <f>SUM(X9:AB9)</f>
        <v>0</v>
      </c>
      <c r="AD9" s="785"/>
      <c r="AE9" s="785"/>
      <c r="AF9" s="785"/>
      <c r="AG9" s="785"/>
      <c r="AH9" s="787"/>
      <c r="AI9" s="788">
        <f>SUM(AD9:AH9)</f>
        <v>0</v>
      </c>
      <c r="AJ9" s="759">
        <f t="shared" ref="AJ9:AJ27" si="0">+Q9+W9+AC9+AI9</f>
        <v>0</v>
      </c>
    </row>
    <row r="10" spans="1:36" s="82" customFormat="1" ht="76.5">
      <c r="A10" s="4" t="s">
        <v>248</v>
      </c>
      <c r="B10" s="468"/>
      <c r="C10" s="468"/>
      <c r="D10" s="468" t="s">
        <v>209</v>
      </c>
      <c r="E10" s="468"/>
      <c r="F10" s="686"/>
      <c r="G10" s="686"/>
      <c r="H10" s="468"/>
      <c r="I10" s="468" t="s">
        <v>249</v>
      </c>
      <c r="J10" s="468" t="s">
        <v>247</v>
      </c>
      <c r="K10" s="468"/>
      <c r="L10" s="785"/>
      <c r="M10" s="785"/>
      <c r="N10" s="785"/>
      <c r="O10" s="785"/>
      <c r="P10" s="785"/>
      <c r="Q10" s="786">
        <f t="shared" ref="Q10:Q27" si="1">SUM(L10:P10)</f>
        <v>0</v>
      </c>
      <c r="R10" s="785"/>
      <c r="S10" s="785"/>
      <c r="T10" s="785"/>
      <c r="U10" s="785"/>
      <c r="V10" s="785"/>
      <c r="W10" s="786">
        <f t="shared" ref="W10:W26" si="2">SUM(R10:V10)</f>
        <v>0</v>
      </c>
      <c r="X10" s="785"/>
      <c r="Y10" s="785"/>
      <c r="Z10" s="785"/>
      <c r="AA10" s="785"/>
      <c r="AB10" s="785"/>
      <c r="AC10" s="786">
        <f t="shared" ref="AC10:AC27" si="3">SUM(X10:AB10)</f>
        <v>0</v>
      </c>
      <c r="AD10" s="785"/>
      <c r="AE10" s="785"/>
      <c r="AF10" s="785"/>
      <c r="AG10" s="785"/>
      <c r="AH10" s="787"/>
      <c r="AI10" s="788">
        <f t="shared" ref="AI10:AI27" si="4">SUM(AD10:AH10)</f>
        <v>0</v>
      </c>
      <c r="AJ10" s="759">
        <f t="shared" si="0"/>
        <v>0</v>
      </c>
    </row>
    <row r="11" spans="1:36" s="82" customFormat="1" ht="89.25">
      <c r="A11" s="4" t="s">
        <v>393</v>
      </c>
      <c r="B11" s="468"/>
      <c r="C11" s="468"/>
      <c r="D11" s="468" t="s">
        <v>209</v>
      </c>
      <c r="E11" s="468"/>
      <c r="F11" s="686"/>
      <c r="G11" s="686"/>
      <c r="H11" s="468" t="s">
        <v>309</v>
      </c>
      <c r="I11" s="468" t="s">
        <v>249</v>
      </c>
      <c r="J11" s="468" t="s">
        <v>250</v>
      </c>
      <c r="K11" s="468"/>
      <c r="L11" s="785"/>
      <c r="M11" s="785"/>
      <c r="N11" s="785"/>
      <c r="O11" s="785"/>
      <c r="P11" s="785"/>
      <c r="Q11" s="786">
        <f t="shared" si="1"/>
        <v>0</v>
      </c>
      <c r="R11" s="785"/>
      <c r="S11" s="785"/>
      <c r="T11" s="785"/>
      <c r="U11" s="785"/>
      <c r="V11" s="785"/>
      <c r="W11" s="786">
        <f t="shared" si="2"/>
        <v>0</v>
      </c>
      <c r="X11" s="785"/>
      <c r="Y11" s="785"/>
      <c r="Z11" s="785"/>
      <c r="AA11" s="785"/>
      <c r="AB11" s="785"/>
      <c r="AC11" s="786">
        <f t="shared" si="3"/>
        <v>0</v>
      </c>
      <c r="AD11" s="785"/>
      <c r="AE11" s="785"/>
      <c r="AF11" s="785"/>
      <c r="AG11" s="785"/>
      <c r="AH11" s="787"/>
      <c r="AI11" s="788">
        <f t="shared" si="4"/>
        <v>0</v>
      </c>
      <c r="AJ11" s="759">
        <f t="shared" si="0"/>
        <v>0</v>
      </c>
    </row>
    <row r="12" spans="1:36" s="82" customFormat="1" ht="89.25">
      <c r="A12" s="4" t="s">
        <v>394</v>
      </c>
      <c r="B12" s="468"/>
      <c r="C12" s="468"/>
      <c r="D12" s="468" t="s">
        <v>209</v>
      </c>
      <c r="E12" s="468"/>
      <c r="F12" s="676"/>
      <c r="G12" s="686"/>
      <c r="H12" s="468"/>
      <c r="I12" s="468" t="s">
        <v>249</v>
      </c>
      <c r="J12" s="468" t="s">
        <v>251</v>
      </c>
      <c r="K12" s="468"/>
      <c r="L12" s="785"/>
      <c r="M12" s="785"/>
      <c r="N12" s="785"/>
      <c r="O12" s="785"/>
      <c r="P12" s="785"/>
      <c r="Q12" s="786">
        <f t="shared" si="1"/>
        <v>0</v>
      </c>
      <c r="R12" s="785"/>
      <c r="S12" s="785"/>
      <c r="T12" s="785"/>
      <c r="U12" s="785"/>
      <c r="V12" s="785"/>
      <c r="W12" s="786">
        <f t="shared" si="2"/>
        <v>0</v>
      </c>
      <c r="X12" s="785"/>
      <c r="Y12" s="785"/>
      <c r="Z12" s="785"/>
      <c r="AA12" s="785"/>
      <c r="AB12" s="785"/>
      <c r="AC12" s="786">
        <f t="shared" si="3"/>
        <v>0</v>
      </c>
      <c r="AD12" s="785"/>
      <c r="AE12" s="785"/>
      <c r="AF12" s="785"/>
      <c r="AG12" s="785"/>
      <c r="AH12" s="787"/>
      <c r="AI12" s="788">
        <f t="shared" si="4"/>
        <v>0</v>
      </c>
      <c r="AJ12" s="759">
        <f t="shared" si="0"/>
        <v>0</v>
      </c>
    </row>
    <row r="13" spans="1:36" s="82" customFormat="1" ht="409.5">
      <c r="A13" s="716" t="s">
        <v>252</v>
      </c>
      <c r="B13" s="725"/>
      <c r="C13" s="725"/>
      <c r="D13" s="725" t="s">
        <v>209</v>
      </c>
      <c r="E13" s="725" t="s">
        <v>70</v>
      </c>
      <c r="F13" s="726" t="s">
        <v>718</v>
      </c>
      <c r="G13" s="726" t="s">
        <v>703</v>
      </c>
      <c r="H13" s="725" t="s">
        <v>309</v>
      </c>
      <c r="I13" s="725" t="s">
        <v>249</v>
      </c>
      <c r="J13" s="725"/>
      <c r="K13" s="468"/>
      <c r="L13" s="785"/>
      <c r="M13" s="785"/>
      <c r="N13" s="785"/>
      <c r="O13" s="785"/>
      <c r="P13" s="785"/>
      <c r="Q13" s="786">
        <f t="shared" si="1"/>
        <v>0</v>
      </c>
      <c r="R13" s="785"/>
      <c r="S13" s="785"/>
      <c r="T13" s="785"/>
      <c r="U13" s="785"/>
      <c r="V13" s="785"/>
      <c r="W13" s="786">
        <f t="shared" si="2"/>
        <v>0</v>
      </c>
      <c r="X13" s="785"/>
      <c r="Y13" s="785"/>
      <c r="Z13" s="785"/>
      <c r="AA13" s="785"/>
      <c r="AB13" s="785"/>
      <c r="AC13" s="786">
        <f t="shared" si="3"/>
        <v>0</v>
      </c>
      <c r="AD13" s="785"/>
      <c r="AE13" s="785"/>
      <c r="AF13" s="785"/>
      <c r="AG13" s="785"/>
      <c r="AH13" s="787"/>
      <c r="AI13" s="788">
        <f t="shared" si="4"/>
        <v>0</v>
      </c>
      <c r="AJ13" s="759">
        <f t="shared" si="0"/>
        <v>0</v>
      </c>
    </row>
    <row r="14" spans="1:36" s="82" customFormat="1" ht="15.75">
      <c r="A14" s="4" t="s">
        <v>253</v>
      </c>
      <c r="B14" s="468"/>
      <c r="C14" s="468"/>
      <c r="D14" s="468"/>
      <c r="E14" s="468"/>
      <c r="F14" s="468"/>
      <c r="G14" s="686"/>
      <c r="H14" s="468"/>
      <c r="I14" s="468"/>
      <c r="J14" s="468"/>
      <c r="K14" s="112"/>
      <c r="L14" s="785"/>
      <c r="M14" s="785"/>
      <c r="N14" s="785"/>
      <c r="O14" s="785"/>
      <c r="P14" s="785"/>
      <c r="Q14" s="786">
        <f t="shared" si="1"/>
        <v>0</v>
      </c>
      <c r="R14" s="785"/>
      <c r="S14" s="785"/>
      <c r="T14" s="785"/>
      <c r="U14" s="785"/>
      <c r="V14" s="785"/>
      <c r="W14" s="786">
        <f t="shared" si="2"/>
        <v>0</v>
      </c>
      <c r="X14" s="785"/>
      <c r="Y14" s="785"/>
      <c r="Z14" s="785"/>
      <c r="AA14" s="785"/>
      <c r="AB14" s="785"/>
      <c r="AC14" s="786">
        <f t="shared" si="3"/>
        <v>0</v>
      </c>
      <c r="AD14" s="785"/>
      <c r="AE14" s="785"/>
      <c r="AF14" s="785"/>
      <c r="AG14" s="785"/>
      <c r="AH14" s="787"/>
      <c r="AI14" s="788">
        <f t="shared" si="4"/>
        <v>0</v>
      </c>
      <c r="AJ14" s="759">
        <f t="shared" si="0"/>
        <v>0</v>
      </c>
    </row>
    <row r="15" spans="1:36" s="82" customFormat="1" ht="382.5">
      <c r="A15" s="716" t="s">
        <v>254</v>
      </c>
      <c r="B15" s="468"/>
      <c r="C15" s="468"/>
      <c r="D15" s="468" t="s">
        <v>209</v>
      </c>
      <c r="E15" s="104" t="s">
        <v>75</v>
      </c>
      <c r="F15" s="725" t="s">
        <v>718</v>
      </c>
      <c r="G15" s="686" t="s">
        <v>703</v>
      </c>
      <c r="H15" s="468" t="s">
        <v>156</v>
      </c>
      <c r="I15" s="468"/>
      <c r="J15" s="468"/>
      <c r="K15" s="468"/>
      <c r="L15" s="785">
        <v>28000</v>
      </c>
      <c r="M15" s="785"/>
      <c r="N15" s="785"/>
      <c r="O15" s="785"/>
      <c r="P15" s="785"/>
      <c r="Q15" s="786">
        <f t="shared" si="1"/>
        <v>28000</v>
      </c>
      <c r="R15" s="785">
        <v>30084</v>
      </c>
      <c r="S15" s="785"/>
      <c r="T15" s="785"/>
      <c r="U15" s="785"/>
      <c r="V15" s="785"/>
      <c r="W15" s="786">
        <f>SUM(R15:V15)</f>
        <v>30084</v>
      </c>
      <c r="X15" s="785"/>
      <c r="Y15" s="785"/>
      <c r="Z15" s="785"/>
      <c r="AA15" s="785"/>
      <c r="AB15" s="785"/>
      <c r="AC15" s="786">
        <f t="shared" si="3"/>
        <v>0</v>
      </c>
      <c r="AD15" s="785"/>
      <c r="AE15" s="785"/>
      <c r="AF15" s="785"/>
      <c r="AG15" s="785"/>
      <c r="AH15" s="787"/>
      <c r="AI15" s="788">
        <f t="shared" si="4"/>
        <v>0</v>
      </c>
      <c r="AJ15" s="759">
        <f t="shared" si="0"/>
        <v>58084</v>
      </c>
    </row>
    <row r="16" spans="1:36" s="82" customFormat="1" ht="409.5">
      <c r="A16" s="716" t="s">
        <v>255</v>
      </c>
      <c r="B16" s="468"/>
      <c r="C16" s="468"/>
      <c r="D16" s="468" t="s">
        <v>209</v>
      </c>
      <c r="E16" s="468" t="s">
        <v>256</v>
      </c>
      <c r="F16" s="725" t="s">
        <v>718</v>
      </c>
      <c r="G16" s="686" t="s">
        <v>703</v>
      </c>
      <c r="H16" s="468" t="s">
        <v>309</v>
      </c>
      <c r="I16" s="468" t="s">
        <v>249</v>
      </c>
      <c r="J16" s="468"/>
      <c r="K16" s="468"/>
      <c r="L16" s="785"/>
      <c r="M16" s="785"/>
      <c r="N16" s="785"/>
      <c r="O16" s="785"/>
      <c r="P16" s="785"/>
      <c r="Q16" s="786">
        <f t="shared" si="1"/>
        <v>0</v>
      </c>
      <c r="R16" s="785"/>
      <c r="S16" s="785"/>
      <c r="T16" s="785"/>
      <c r="U16" s="785"/>
      <c r="V16" s="785"/>
      <c r="W16" s="786">
        <f t="shared" si="2"/>
        <v>0</v>
      </c>
      <c r="X16" s="785"/>
      <c r="Y16" s="785"/>
      <c r="Z16" s="785"/>
      <c r="AA16" s="785"/>
      <c r="AB16" s="785"/>
      <c r="AC16" s="786">
        <f t="shared" si="3"/>
        <v>0</v>
      </c>
      <c r="AD16" s="785"/>
      <c r="AE16" s="785"/>
      <c r="AF16" s="785"/>
      <c r="AG16" s="785"/>
      <c r="AH16" s="787"/>
      <c r="AI16" s="788">
        <f t="shared" si="4"/>
        <v>0</v>
      </c>
      <c r="AJ16" s="759">
        <f t="shared" si="0"/>
        <v>0</v>
      </c>
    </row>
    <row r="17" spans="1:37" s="82" customFormat="1" ht="15.75">
      <c r="A17" s="4" t="s">
        <v>253</v>
      </c>
      <c r="B17" s="468"/>
      <c r="C17" s="468"/>
      <c r="D17" s="468"/>
      <c r="E17" s="468"/>
      <c r="F17" s="468"/>
      <c r="G17" s="686"/>
      <c r="H17" s="468"/>
      <c r="I17" s="468"/>
      <c r="J17" s="468"/>
      <c r="K17" s="468"/>
      <c r="L17" s="785"/>
      <c r="M17" s="785"/>
      <c r="N17" s="785"/>
      <c r="O17" s="785"/>
      <c r="P17" s="785"/>
      <c r="Q17" s="786">
        <f t="shared" si="1"/>
        <v>0</v>
      </c>
      <c r="R17" s="785"/>
      <c r="S17" s="785"/>
      <c r="T17" s="785"/>
      <c r="U17" s="785"/>
      <c r="V17" s="785"/>
      <c r="W17" s="786">
        <f t="shared" si="2"/>
        <v>0</v>
      </c>
      <c r="X17" s="785"/>
      <c r="Y17" s="785"/>
      <c r="Z17" s="785"/>
      <c r="AA17" s="785"/>
      <c r="AB17" s="785"/>
      <c r="AC17" s="786">
        <f t="shared" si="3"/>
        <v>0</v>
      </c>
      <c r="AD17" s="785"/>
      <c r="AE17" s="785"/>
      <c r="AF17" s="785"/>
      <c r="AG17" s="785"/>
      <c r="AH17" s="787"/>
      <c r="AI17" s="788">
        <f t="shared" si="4"/>
        <v>0</v>
      </c>
      <c r="AJ17" s="759">
        <f t="shared" si="0"/>
        <v>0</v>
      </c>
    </row>
    <row r="18" spans="1:37" s="82" customFormat="1" ht="331.5">
      <c r="A18" s="716" t="s">
        <v>257</v>
      </c>
      <c r="B18" s="468"/>
      <c r="C18" s="468"/>
      <c r="D18" s="468" t="s">
        <v>209</v>
      </c>
      <c r="E18" s="468" t="s">
        <v>258</v>
      </c>
      <c r="F18" s="725" t="s">
        <v>718</v>
      </c>
      <c r="G18" s="686" t="s">
        <v>703</v>
      </c>
      <c r="H18" s="468"/>
      <c r="I18" s="468"/>
      <c r="J18" s="468"/>
      <c r="K18" s="468"/>
      <c r="L18" s="785"/>
      <c r="M18" s="785"/>
      <c r="N18" s="785"/>
      <c r="O18" s="785"/>
      <c r="P18" s="785"/>
      <c r="Q18" s="786">
        <f t="shared" si="1"/>
        <v>0</v>
      </c>
      <c r="R18" s="785"/>
      <c r="S18" s="785"/>
      <c r="T18" s="785"/>
      <c r="U18" s="785"/>
      <c r="V18" s="785"/>
      <c r="W18" s="786">
        <f t="shared" si="2"/>
        <v>0</v>
      </c>
      <c r="X18" s="785">
        <f>1060*1000</f>
        <v>1060000</v>
      </c>
      <c r="Y18" s="785"/>
      <c r="Z18" s="785"/>
      <c r="AA18" s="785"/>
      <c r="AB18" s="785"/>
      <c r="AC18" s="786">
        <f t="shared" si="3"/>
        <v>1060000</v>
      </c>
      <c r="AD18" s="785"/>
      <c r="AE18" s="785"/>
      <c r="AF18" s="785"/>
      <c r="AG18" s="785"/>
      <c r="AH18" s="787"/>
      <c r="AI18" s="788">
        <f t="shared" si="4"/>
        <v>0</v>
      </c>
      <c r="AJ18" s="759">
        <f t="shared" si="0"/>
        <v>1060000</v>
      </c>
    </row>
    <row r="19" spans="1:37" s="82" customFormat="1" ht="89.25">
      <c r="A19" s="716" t="s">
        <v>259</v>
      </c>
      <c r="B19" s="468"/>
      <c r="C19" s="468"/>
      <c r="D19" s="468" t="s">
        <v>209</v>
      </c>
      <c r="E19" s="468" t="s">
        <v>260</v>
      </c>
      <c r="F19" s="726" t="s">
        <v>718</v>
      </c>
      <c r="G19" s="686" t="s">
        <v>703</v>
      </c>
      <c r="H19" s="468"/>
      <c r="I19" s="468"/>
      <c r="J19" s="468"/>
      <c r="K19" s="468"/>
      <c r="L19" s="785">
        <v>16600</v>
      </c>
      <c r="M19" s="785"/>
      <c r="N19" s="785"/>
      <c r="O19" s="785"/>
      <c r="P19" s="785"/>
      <c r="Q19" s="786">
        <f t="shared" si="1"/>
        <v>16600</v>
      </c>
      <c r="R19" s="785">
        <v>26400</v>
      </c>
      <c r="S19" s="785"/>
      <c r="T19" s="785"/>
      <c r="U19" s="785"/>
      <c r="V19" s="785"/>
      <c r="W19" s="786">
        <f>SUM(R19:V19)</f>
        <v>26400</v>
      </c>
      <c r="X19" s="789">
        <v>123650</v>
      </c>
      <c r="Y19" s="785"/>
      <c r="Z19" s="785"/>
      <c r="AA19" s="785"/>
      <c r="AB19" s="785"/>
      <c r="AC19" s="786">
        <f t="shared" si="3"/>
        <v>123650</v>
      </c>
      <c r="AD19" s="785">
        <v>358550</v>
      </c>
      <c r="AE19" s="785"/>
      <c r="AF19" s="785"/>
      <c r="AG19" s="785"/>
      <c r="AH19" s="787"/>
      <c r="AI19" s="788">
        <f t="shared" si="4"/>
        <v>358550</v>
      </c>
      <c r="AJ19" s="759">
        <f t="shared" si="0"/>
        <v>525200</v>
      </c>
    </row>
    <row r="20" spans="1:37" s="82" customFormat="1" ht="204">
      <c r="A20" s="716" t="s">
        <v>261</v>
      </c>
      <c r="B20" s="468"/>
      <c r="C20" s="468"/>
      <c r="D20" s="468" t="s">
        <v>209</v>
      </c>
      <c r="E20" s="468" t="s">
        <v>262</v>
      </c>
      <c r="F20" s="726" t="s">
        <v>718</v>
      </c>
      <c r="G20" s="686" t="s">
        <v>703</v>
      </c>
      <c r="H20" s="468"/>
      <c r="I20" s="468"/>
      <c r="J20" s="468"/>
      <c r="K20" s="468"/>
      <c r="L20" s="789"/>
      <c r="M20" s="785"/>
      <c r="N20" s="785"/>
      <c r="O20" s="785"/>
      <c r="P20" s="785"/>
      <c r="Q20" s="786">
        <f t="shared" si="1"/>
        <v>0</v>
      </c>
      <c r="R20" s="785">
        <v>54220</v>
      </c>
      <c r="S20" s="785"/>
      <c r="T20" s="785"/>
      <c r="U20" s="785"/>
      <c r="V20" s="785"/>
      <c r="W20" s="786">
        <f t="shared" si="2"/>
        <v>54220</v>
      </c>
      <c r="X20" s="785">
        <v>19720</v>
      </c>
      <c r="Y20" s="785"/>
      <c r="Z20" s="785"/>
      <c r="AA20" s="785"/>
      <c r="AB20" s="785"/>
      <c r="AC20" s="786">
        <f t="shared" si="3"/>
        <v>19720</v>
      </c>
      <c r="AD20" s="785">
        <v>44400</v>
      </c>
      <c r="AE20" s="785"/>
      <c r="AF20" s="785"/>
      <c r="AG20" s="785"/>
      <c r="AH20" s="787"/>
      <c r="AI20" s="788">
        <f t="shared" si="4"/>
        <v>44400</v>
      </c>
      <c r="AJ20" s="759">
        <f t="shared" si="0"/>
        <v>118340</v>
      </c>
    </row>
    <row r="21" spans="1:37" s="82" customFormat="1" ht="204">
      <c r="A21" s="716" t="s">
        <v>263</v>
      </c>
      <c r="B21" s="468"/>
      <c r="C21" s="468"/>
      <c r="D21" s="468" t="s">
        <v>209</v>
      </c>
      <c r="E21" s="468" t="s">
        <v>264</v>
      </c>
      <c r="F21" s="726" t="s">
        <v>718</v>
      </c>
      <c r="G21" s="686" t="s">
        <v>703</v>
      </c>
      <c r="H21" s="468"/>
      <c r="I21" s="468"/>
      <c r="J21" s="468"/>
      <c r="K21" s="468"/>
      <c r="L21" s="785"/>
      <c r="M21" s="785"/>
      <c r="N21" s="785"/>
      <c r="O21" s="785"/>
      <c r="P21" s="785"/>
      <c r="Q21" s="786">
        <f t="shared" si="1"/>
        <v>0</v>
      </c>
      <c r="R21" s="785"/>
      <c r="S21" s="785"/>
      <c r="T21" s="785"/>
      <c r="U21" s="785"/>
      <c r="V21" s="785"/>
      <c r="W21" s="786">
        <f t="shared" si="2"/>
        <v>0</v>
      </c>
      <c r="X21" s="785"/>
      <c r="Y21" s="785"/>
      <c r="Z21" s="785"/>
      <c r="AA21" s="785"/>
      <c r="AB21" s="785"/>
      <c r="AC21" s="786">
        <f t="shared" si="3"/>
        <v>0</v>
      </c>
      <c r="AD21" s="785"/>
      <c r="AE21" s="785"/>
      <c r="AF21" s="785"/>
      <c r="AG21" s="785"/>
      <c r="AH21" s="787"/>
      <c r="AI21" s="788">
        <f t="shared" si="4"/>
        <v>0</v>
      </c>
      <c r="AJ21" s="759">
        <f t="shared" si="0"/>
        <v>0</v>
      </c>
    </row>
    <row r="22" spans="1:37" s="82" customFormat="1" ht="102">
      <c r="A22" s="716" t="s">
        <v>265</v>
      </c>
      <c r="B22" s="468"/>
      <c r="C22" s="468"/>
      <c r="D22" s="468" t="s">
        <v>209</v>
      </c>
      <c r="E22" s="468" t="s">
        <v>266</v>
      </c>
      <c r="F22" s="726" t="s">
        <v>718</v>
      </c>
      <c r="G22" s="686" t="s">
        <v>703</v>
      </c>
      <c r="H22" s="468"/>
      <c r="I22" s="468"/>
      <c r="J22" s="468"/>
      <c r="K22" s="468"/>
      <c r="L22" s="785"/>
      <c r="M22" s="785"/>
      <c r="N22" s="785"/>
      <c r="O22" s="785"/>
      <c r="P22" s="785"/>
      <c r="Q22" s="786">
        <f t="shared" si="1"/>
        <v>0</v>
      </c>
      <c r="R22" s="785"/>
      <c r="S22" s="785"/>
      <c r="T22" s="785"/>
      <c r="U22" s="785"/>
      <c r="V22" s="785"/>
      <c r="W22" s="786">
        <f t="shared" si="2"/>
        <v>0</v>
      </c>
      <c r="X22" s="785">
        <v>250000</v>
      </c>
      <c r="Y22" s="785"/>
      <c r="Z22" s="785"/>
      <c r="AA22" s="785"/>
      <c r="AB22" s="785"/>
      <c r="AC22" s="786">
        <f t="shared" si="3"/>
        <v>250000</v>
      </c>
      <c r="AD22" s="785">
        <v>200000</v>
      </c>
      <c r="AE22" s="785"/>
      <c r="AF22" s="785"/>
      <c r="AG22" s="785"/>
      <c r="AH22" s="787"/>
      <c r="AI22" s="788">
        <f t="shared" si="4"/>
        <v>200000</v>
      </c>
      <c r="AJ22" s="759">
        <f t="shared" si="0"/>
        <v>450000</v>
      </c>
    </row>
    <row r="23" spans="1:37" s="82" customFormat="1" ht="76.5">
      <c r="A23" s="716" t="s">
        <v>267</v>
      </c>
      <c r="B23" s="468"/>
      <c r="C23" s="468"/>
      <c r="D23" s="468" t="s">
        <v>209</v>
      </c>
      <c r="E23" s="468" t="s">
        <v>268</v>
      </c>
      <c r="F23" s="726" t="s">
        <v>718</v>
      </c>
      <c r="G23" s="686" t="s">
        <v>703</v>
      </c>
      <c r="H23" s="468"/>
      <c r="I23" s="468"/>
      <c r="J23" s="468"/>
      <c r="K23" s="468"/>
      <c r="L23" s="785"/>
      <c r="M23" s="785"/>
      <c r="N23" s="785"/>
      <c r="O23" s="785"/>
      <c r="P23" s="785"/>
      <c r="Q23" s="786">
        <f t="shared" si="1"/>
        <v>0</v>
      </c>
      <c r="R23" s="785">
        <v>18000</v>
      </c>
      <c r="S23" s="785"/>
      <c r="T23" s="785"/>
      <c r="U23" s="785"/>
      <c r="V23" s="785"/>
      <c r="W23" s="786">
        <f t="shared" si="2"/>
        <v>18000</v>
      </c>
      <c r="X23" s="785">
        <v>60000</v>
      </c>
      <c r="Y23" s="785"/>
      <c r="Z23" s="785"/>
      <c r="AA23" s="785"/>
      <c r="AB23" s="785"/>
      <c r="AC23" s="786">
        <f t="shared" si="3"/>
        <v>60000</v>
      </c>
      <c r="AD23" s="785"/>
      <c r="AE23" s="785"/>
      <c r="AF23" s="785"/>
      <c r="AG23" s="785"/>
      <c r="AH23" s="787"/>
      <c r="AI23" s="788">
        <f t="shared" si="4"/>
        <v>0</v>
      </c>
      <c r="AJ23" s="759">
        <f t="shared" si="0"/>
        <v>78000</v>
      </c>
    </row>
    <row r="24" spans="1:37" s="82" customFormat="1" ht="102">
      <c r="A24" s="716" t="s">
        <v>269</v>
      </c>
      <c r="B24" s="468"/>
      <c r="C24" s="468"/>
      <c r="D24" s="468" t="s">
        <v>209</v>
      </c>
      <c r="E24" s="468" t="s">
        <v>270</v>
      </c>
      <c r="F24" s="726" t="s">
        <v>718</v>
      </c>
      <c r="G24" s="686" t="s">
        <v>703</v>
      </c>
      <c r="H24" s="468"/>
      <c r="I24" s="468"/>
      <c r="J24" s="468"/>
      <c r="K24" s="468"/>
      <c r="L24" s="785"/>
      <c r="M24" s="785"/>
      <c r="N24" s="785"/>
      <c r="O24" s="785"/>
      <c r="P24" s="785"/>
      <c r="Q24" s="786">
        <f t="shared" si="1"/>
        <v>0</v>
      </c>
      <c r="R24" s="785">
        <v>250000</v>
      </c>
      <c r="S24" s="785"/>
      <c r="T24" s="785"/>
      <c r="U24" s="785"/>
      <c r="V24" s="785"/>
      <c r="W24" s="786">
        <f t="shared" si="2"/>
        <v>250000</v>
      </c>
      <c r="X24" s="785">
        <v>130000</v>
      </c>
      <c r="Y24" s="785"/>
      <c r="Z24" s="785"/>
      <c r="AA24" s="785"/>
      <c r="AB24" s="785"/>
      <c r="AC24" s="786">
        <f t="shared" si="3"/>
        <v>130000</v>
      </c>
      <c r="AD24" s="785"/>
      <c r="AE24" s="785"/>
      <c r="AF24" s="785"/>
      <c r="AG24" s="785"/>
      <c r="AH24" s="787"/>
      <c r="AI24" s="788">
        <f t="shared" si="4"/>
        <v>0</v>
      </c>
      <c r="AJ24" s="759">
        <f t="shared" si="0"/>
        <v>380000</v>
      </c>
    </row>
    <row r="25" spans="1:37" s="82" customFormat="1" ht="102">
      <c r="A25" s="716" t="s">
        <v>271</v>
      </c>
      <c r="B25" s="468"/>
      <c r="C25" s="468"/>
      <c r="D25" s="468" t="s">
        <v>209</v>
      </c>
      <c r="E25" s="468" t="s">
        <v>272</v>
      </c>
      <c r="F25" s="726" t="s">
        <v>718</v>
      </c>
      <c r="G25" s="686" t="s">
        <v>703</v>
      </c>
      <c r="H25" s="468"/>
      <c r="I25" s="468"/>
      <c r="J25" s="468"/>
      <c r="K25" s="468"/>
      <c r="L25" s="785"/>
      <c r="M25" s="785"/>
      <c r="N25" s="785"/>
      <c r="O25" s="785"/>
      <c r="P25" s="785"/>
      <c r="Q25" s="786">
        <f t="shared" si="1"/>
        <v>0</v>
      </c>
      <c r="R25" s="785"/>
      <c r="S25" s="785"/>
      <c r="T25" s="785"/>
      <c r="U25" s="785"/>
      <c r="V25" s="785"/>
      <c r="W25" s="786">
        <f t="shared" si="2"/>
        <v>0</v>
      </c>
      <c r="X25" s="785"/>
      <c r="Y25" s="785"/>
      <c r="Z25" s="785"/>
      <c r="AA25" s="785"/>
      <c r="AB25" s="785"/>
      <c r="AC25" s="786">
        <f t="shared" si="3"/>
        <v>0</v>
      </c>
      <c r="AD25" s="785">
        <v>90000</v>
      </c>
      <c r="AE25" s="785"/>
      <c r="AF25" s="785"/>
      <c r="AG25" s="785"/>
      <c r="AH25" s="787"/>
      <c r="AI25" s="788">
        <f t="shared" si="4"/>
        <v>90000</v>
      </c>
      <c r="AJ25" s="759">
        <f t="shared" si="0"/>
        <v>90000</v>
      </c>
    </row>
    <row r="26" spans="1:37" s="82" customFormat="1" ht="38.25">
      <c r="A26" s="716" t="s">
        <v>273</v>
      </c>
      <c r="B26" s="468"/>
      <c r="C26" s="468"/>
      <c r="D26" s="468" t="s">
        <v>209</v>
      </c>
      <c r="E26" s="468" t="s">
        <v>274</v>
      </c>
      <c r="F26" s="726" t="s">
        <v>718</v>
      </c>
      <c r="G26" s="686" t="s">
        <v>703</v>
      </c>
      <c r="H26" s="468"/>
      <c r="I26" s="468"/>
      <c r="J26" s="468"/>
      <c r="K26" s="468"/>
      <c r="L26" s="785"/>
      <c r="M26" s="785"/>
      <c r="N26" s="785"/>
      <c r="O26" s="785"/>
      <c r="P26" s="785"/>
      <c r="Q26" s="786">
        <f t="shared" si="1"/>
        <v>0</v>
      </c>
      <c r="R26" s="785"/>
      <c r="S26" s="785"/>
      <c r="T26" s="785"/>
      <c r="U26" s="785"/>
      <c r="V26" s="785"/>
      <c r="W26" s="786">
        <f t="shared" si="2"/>
        <v>0</v>
      </c>
      <c r="X26" s="785">
        <v>70000</v>
      </c>
      <c r="Y26" s="785"/>
      <c r="Z26" s="785"/>
      <c r="AA26" s="785"/>
      <c r="AB26" s="785"/>
      <c r="AC26" s="786">
        <f t="shared" si="3"/>
        <v>70000</v>
      </c>
      <c r="AD26" s="785"/>
      <c r="AE26" s="785"/>
      <c r="AF26" s="785"/>
      <c r="AG26" s="785"/>
      <c r="AH26" s="787"/>
      <c r="AI26" s="788">
        <f t="shared" si="4"/>
        <v>0</v>
      </c>
      <c r="AJ26" s="759">
        <f t="shared" si="0"/>
        <v>70000</v>
      </c>
    </row>
    <row r="27" spans="1:37" s="82" customFormat="1" ht="38.25">
      <c r="A27" s="716" t="s">
        <v>275</v>
      </c>
      <c r="B27" s="468"/>
      <c r="C27" s="468"/>
      <c r="D27" s="468" t="s">
        <v>209</v>
      </c>
      <c r="E27" s="468"/>
      <c r="F27" s="726" t="s">
        <v>718</v>
      </c>
      <c r="G27" s="686" t="s">
        <v>703</v>
      </c>
      <c r="H27" s="468"/>
      <c r="I27" s="468"/>
      <c r="J27" s="468"/>
      <c r="K27" s="468"/>
      <c r="L27" s="785">
        <v>13400</v>
      </c>
      <c r="M27" s="785"/>
      <c r="N27" s="785"/>
      <c r="O27" s="785"/>
      <c r="P27" s="785"/>
      <c r="Q27" s="786">
        <f t="shared" si="1"/>
        <v>13400</v>
      </c>
      <c r="R27" s="790">
        <f>74.6*1000</f>
        <v>74600</v>
      </c>
      <c r="S27" s="785"/>
      <c r="T27" s="785"/>
      <c r="U27" s="785"/>
      <c r="V27" s="785"/>
      <c r="W27" s="786">
        <f>SUM(R27:V27)</f>
        <v>74600</v>
      </c>
      <c r="X27" s="785"/>
      <c r="Y27" s="785"/>
      <c r="Z27" s="785"/>
      <c r="AA27" s="785"/>
      <c r="AB27" s="785"/>
      <c r="AC27" s="786">
        <f t="shared" si="3"/>
        <v>0</v>
      </c>
      <c r="AD27" s="785"/>
      <c r="AE27" s="785"/>
      <c r="AF27" s="785"/>
      <c r="AG27" s="785"/>
      <c r="AH27" s="787"/>
      <c r="AI27" s="788">
        <f t="shared" si="4"/>
        <v>0</v>
      </c>
      <c r="AJ27" s="759">
        <f t="shared" si="0"/>
        <v>88000</v>
      </c>
    </row>
    <row r="28" spans="1:37" s="82" customFormat="1" ht="15.75">
      <c r="A28" s="172"/>
      <c r="B28" s="458"/>
      <c r="C28" s="458"/>
      <c r="D28" s="458"/>
      <c r="E28" s="458"/>
      <c r="F28" s="458"/>
      <c r="G28" s="458"/>
      <c r="H28" s="458"/>
      <c r="I28" s="458"/>
      <c r="J28" s="458"/>
      <c r="K28" s="458"/>
      <c r="L28" s="363"/>
      <c r="M28" s="177"/>
      <c r="N28" s="177"/>
      <c r="O28" s="177"/>
      <c r="P28" s="177"/>
      <c r="Q28" s="682"/>
      <c r="R28" s="363"/>
      <c r="S28" s="177"/>
      <c r="T28" s="177"/>
      <c r="U28" s="177"/>
      <c r="V28" s="177"/>
      <c r="W28" s="683"/>
      <c r="X28" s="363"/>
      <c r="Y28" s="177"/>
      <c r="Z28" s="177"/>
      <c r="AA28" s="177"/>
      <c r="AB28" s="177"/>
      <c r="AC28" s="683"/>
      <c r="AD28" s="363"/>
      <c r="AE28" s="177"/>
      <c r="AF28" s="177"/>
      <c r="AG28" s="177"/>
      <c r="AH28" s="683"/>
      <c r="AI28" s="315"/>
      <c r="AJ28" s="759"/>
      <c r="AK28" s="387"/>
    </row>
    <row r="29" spans="1:37" s="82" customFormat="1" ht="15.75">
      <c r="A29" s="116" t="s">
        <v>277</v>
      </c>
      <c r="B29" s="116"/>
      <c r="C29" s="116"/>
      <c r="D29" s="104"/>
      <c r="E29" s="104"/>
      <c r="F29" s="104"/>
      <c r="G29" s="104"/>
      <c r="H29" s="104"/>
      <c r="I29" s="104"/>
      <c r="J29" s="104"/>
      <c r="K29" s="104"/>
      <c r="L29" s="117"/>
      <c r="M29" s="117"/>
      <c r="N29" s="117"/>
      <c r="O29" s="117"/>
      <c r="P29" s="117"/>
      <c r="Q29" s="118"/>
      <c r="R29" s="117"/>
      <c r="S29" s="117"/>
      <c r="T29" s="117"/>
      <c r="U29" s="117"/>
      <c r="V29" s="117"/>
      <c r="W29" s="118"/>
      <c r="X29" s="118"/>
      <c r="Y29" s="118"/>
      <c r="Z29" s="118"/>
      <c r="AA29" s="118"/>
      <c r="AB29" s="118"/>
      <c r="AC29" s="118"/>
      <c r="AD29" s="117"/>
      <c r="AE29" s="117"/>
      <c r="AF29" s="117"/>
      <c r="AG29" s="117"/>
      <c r="AH29" s="117"/>
      <c r="AJ29" s="763"/>
    </row>
    <row r="30" spans="1:37" s="386" customFormat="1" ht="15.75">
      <c r="A30" s="383"/>
      <c r="B30" s="384"/>
      <c r="C30" s="385"/>
      <c r="D30" s="385"/>
      <c r="E30" s="385"/>
      <c r="F30" s="385"/>
      <c r="G30" s="385"/>
      <c r="H30" s="385"/>
      <c r="I30" s="385"/>
      <c r="J30" s="384"/>
      <c r="K30" s="384"/>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764"/>
      <c r="AK30" s="389"/>
    </row>
    <row r="31" spans="1:37" s="82" customFormat="1" ht="15.75">
      <c r="A31" s="1177" t="s">
        <v>278</v>
      </c>
      <c r="B31" s="1177"/>
      <c r="C31" s="1177"/>
      <c r="D31" s="1177"/>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J31" s="763"/>
      <c r="AK31" s="386">
        <f>SUM(AI30+AC30+W30+Q30)</f>
        <v>0</v>
      </c>
    </row>
    <row r="32" spans="1:37" s="82" customFormat="1" ht="31.5">
      <c r="A32" s="1164"/>
      <c r="B32" s="1175" t="s">
        <v>215</v>
      </c>
      <c r="C32" s="1175" t="s">
        <v>279</v>
      </c>
      <c r="D32" s="1175" t="s">
        <v>0</v>
      </c>
      <c r="E32" s="1175" t="s">
        <v>210</v>
      </c>
      <c r="F32" s="1176" t="s">
        <v>280</v>
      </c>
      <c r="G32" s="1176"/>
      <c r="H32" s="1175" t="s">
        <v>22</v>
      </c>
      <c r="I32" s="1175" t="s">
        <v>281</v>
      </c>
      <c r="J32" s="1175" t="s">
        <v>212</v>
      </c>
      <c r="K32" s="1175" t="s">
        <v>282</v>
      </c>
      <c r="L32" s="1175">
        <v>2013</v>
      </c>
      <c r="M32" s="1175"/>
      <c r="N32" s="1175"/>
      <c r="O32" s="1175"/>
      <c r="P32" s="1175"/>
      <c r="Q32" s="1175"/>
      <c r="R32" s="1175">
        <v>2014</v>
      </c>
      <c r="S32" s="1175"/>
      <c r="T32" s="1175"/>
      <c r="U32" s="1175"/>
      <c r="V32" s="1175"/>
      <c r="W32" s="1175"/>
      <c r="X32" s="1175">
        <v>2015</v>
      </c>
      <c r="Y32" s="1175"/>
      <c r="Z32" s="1175"/>
      <c r="AA32" s="1175"/>
      <c r="AB32" s="1175"/>
      <c r="AC32" s="1175"/>
      <c r="AD32" s="1175">
        <v>2016</v>
      </c>
      <c r="AE32" s="1175"/>
      <c r="AF32" s="1175"/>
      <c r="AG32" s="1175"/>
      <c r="AH32" s="1175"/>
      <c r="AI32" s="315" t="s">
        <v>688</v>
      </c>
      <c r="AJ32" s="765" t="s">
        <v>689</v>
      </c>
    </row>
    <row r="33" spans="1:36" s="82" customFormat="1" ht="15.75">
      <c r="A33" s="1163"/>
      <c r="B33" s="1175"/>
      <c r="C33" s="1175"/>
      <c r="D33" s="1175"/>
      <c r="E33" s="1175"/>
      <c r="F33" s="1165"/>
      <c r="G33" s="1165"/>
      <c r="H33" s="1175"/>
      <c r="I33" s="1175"/>
      <c r="J33" s="1175"/>
      <c r="K33" s="1175"/>
      <c r="L33" s="1175" t="s">
        <v>283</v>
      </c>
      <c r="M33" s="1175"/>
      <c r="N33" s="1175"/>
      <c r="O33" s="1175"/>
      <c r="P33" s="1175"/>
      <c r="Q33" s="1175"/>
      <c r="R33" s="1175" t="s">
        <v>283</v>
      </c>
      <c r="S33" s="1175"/>
      <c r="T33" s="1175"/>
      <c r="U33" s="1175"/>
      <c r="V33" s="1175"/>
      <c r="W33" s="1175"/>
      <c r="X33" s="1175" t="s">
        <v>283</v>
      </c>
      <c r="Y33" s="1175"/>
      <c r="Z33" s="1175"/>
      <c r="AA33" s="1175"/>
      <c r="AB33" s="1175"/>
      <c r="AC33" s="1175"/>
      <c r="AD33" s="1175" t="s">
        <v>283</v>
      </c>
      <c r="AE33" s="1175"/>
      <c r="AF33" s="1175"/>
      <c r="AG33" s="1175"/>
      <c r="AH33" s="1175"/>
      <c r="AI33" s="313"/>
      <c r="AJ33" s="766"/>
    </row>
    <row r="34" spans="1:36" s="82" customFormat="1" ht="51">
      <c r="A34" s="1165"/>
      <c r="B34" s="1175"/>
      <c r="C34" s="1175"/>
      <c r="D34" s="1175"/>
      <c r="E34" s="1175"/>
      <c r="F34" s="119" t="s">
        <v>284</v>
      </c>
      <c r="G34" s="119" t="s">
        <v>6</v>
      </c>
      <c r="H34" s="1175"/>
      <c r="I34" s="1175"/>
      <c r="J34" s="1175"/>
      <c r="K34" s="1175"/>
      <c r="L34" s="119" t="s">
        <v>1</v>
      </c>
      <c r="M34" s="119" t="s">
        <v>2</v>
      </c>
      <c r="N34" s="119" t="s">
        <v>285</v>
      </c>
      <c r="O34" s="119" t="s">
        <v>17</v>
      </c>
      <c r="P34" s="119" t="s">
        <v>19</v>
      </c>
      <c r="Q34" s="119" t="s">
        <v>4</v>
      </c>
      <c r="R34" s="119" t="s">
        <v>1</v>
      </c>
      <c r="S34" s="119" t="s">
        <v>2</v>
      </c>
      <c r="T34" s="119" t="s">
        <v>285</v>
      </c>
      <c r="U34" s="119" t="s">
        <v>17</v>
      </c>
      <c r="V34" s="119" t="s">
        <v>19</v>
      </c>
      <c r="W34" s="119" t="s">
        <v>4</v>
      </c>
      <c r="X34" s="119" t="s">
        <v>1</v>
      </c>
      <c r="Y34" s="119" t="s">
        <v>2</v>
      </c>
      <c r="Z34" s="119" t="s">
        <v>285</v>
      </c>
      <c r="AA34" s="119" t="s">
        <v>17</v>
      </c>
      <c r="AB34" s="119" t="s">
        <v>19</v>
      </c>
      <c r="AC34" s="119" t="s">
        <v>4</v>
      </c>
      <c r="AD34" s="119" t="s">
        <v>1</v>
      </c>
      <c r="AE34" s="119" t="s">
        <v>2</v>
      </c>
      <c r="AF34" s="119" t="s">
        <v>285</v>
      </c>
      <c r="AG34" s="119" t="s">
        <v>17</v>
      </c>
      <c r="AH34" s="119" t="s">
        <v>19</v>
      </c>
      <c r="AI34" s="313"/>
      <c r="AJ34" s="759"/>
    </row>
    <row r="35" spans="1:36" s="82" customFormat="1" ht="15.75">
      <c r="A35" s="159"/>
      <c r="B35" s="121" t="s">
        <v>33</v>
      </c>
      <c r="C35" s="121" t="s">
        <v>34</v>
      </c>
      <c r="D35" s="121" t="s">
        <v>45</v>
      </c>
      <c r="E35" s="121" t="s">
        <v>35</v>
      </c>
      <c r="F35" s="121" t="s">
        <v>36</v>
      </c>
      <c r="G35" s="121" t="s">
        <v>37</v>
      </c>
      <c r="H35" s="121" t="s">
        <v>38</v>
      </c>
      <c r="I35" s="121" t="s">
        <v>39</v>
      </c>
      <c r="J35" s="121" t="s">
        <v>40</v>
      </c>
      <c r="K35" s="121" t="s">
        <v>41</v>
      </c>
      <c r="L35" s="119" t="s">
        <v>221</v>
      </c>
      <c r="M35" s="121" t="s">
        <v>222</v>
      </c>
      <c r="N35" s="121" t="s">
        <v>223</v>
      </c>
      <c r="O35" s="119" t="s">
        <v>224</v>
      </c>
      <c r="P35" s="121" t="s">
        <v>225</v>
      </c>
      <c r="Q35" s="121" t="s">
        <v>226</v>
      </c>
      <c r="R35" s="119" t="s">
        <v>227</v>
      </c>
      <c r="S35" s="121" t="s">
        <v>286</v>
      </c>
      <c r="T35" s="121" t="s">
        <v>229</v>
      </c>
      <c r="U35" s="119" t="s">
        <v>230</v>
      </c>
      <c r="V35" s="121" t="s">
        <v>231</v>
      </c>
      <c r="W35" s="121" t="s">
        <v>232</v>
      </c>
      <c r="X35" s="119" t="s">
        <v>233</v>
      </c>
      <c r="Y35" s="121" t="s">
        <v>234</v>
      </c>
      <c r="Z35" s="121" t="s">
        <v>235</v>
      </c>
      <c r="AA35" s="119" t="s">
        <v>236</v>
      </c>
      <c r="AB35" s="121" t="s">
        <v>237</v>
      </c>
      <c r="AC35" s="121" t="s">
        <v>238</v>
      </c>
      <c r="AD35" s="119" t="s">
        <v>239</v>
      </c>
      <c r="AE35" s="121" t="s">
        <v>240</v>
      </c>
      <c r="AF35" s="121" t="s">
        <v>241</v>
      </c>
      <c r="AG35" s="119" t="s">
        <v>242</v>
      </c>
      <c r="AH35" s="121" t="s">
        <v>243</v>
      </c>
      <c r="AI35" s="400"/>
      <c r="AJ35" s="759"/>
    </row>
    <row r="36" spans="1:36" s="82" customFormat="1" ht="15.75">
      <c r="A36" s="160" t="s">
        <v>287</v>
      </c>
      <c r="B36" s="473"/>
      <c r="C36" s="473"/>
      <c r="D36" s="473"/>
      <c r="E36" s="473"/>
      <c r="F36" s="473"/>
      <c r="G36" s="473"/>
      <c r="H36" s="473"/>
      <c r="I36" s="473"/>
      <c r="J36" s="473"/>
      <c r="K36" s="473"/>
      <c r="L36" s="791"/>
      <c r="M36" s="791"/>
      <c r="N36" s="791"/>
      <c r="O36" s="791"/>
      <c r="P36" s="791"/>
      <c r="Q36" s="791">
        <f>SUM(L36:P36)</f>
        <v>0</v>
      </c>
      <c r="R36" s="791"/>
      <c r="S36" s="791"/>
      <c r="T36" s="791"/>
      <c r="U36" s="791"/>
      <c r="V36" s="791"/>
      <c r="W36" s="791"/>
      <c r="X36" s="791"/>
      <c r="Y36" s="791"/>
      <c r="Z36" s="791"/>
      <c r="AA36" s="791"/>
      <c r="AB36" s="791"/>
      <c r="AC36" s="791"/>
      <c r="AD36" s="791"/>
      <c r="AE36" s="791"/>
      <c r="AF36" s="791"/>
      <c r="AG36" s="791"/>
      <c r="AH36" s="791"/>
      <c r="AI36" s="784"/>
      <c r="AJ36" s="759">
        <f>+Q36+W36+AC36+AI36</f>
        <v>0</v>
      </c>
    </row>
    <row r="37" spans="1:36" s="82" customFormat="1" ht="25.5">
      <c r="A37" s="160" t="s">
        <v>288</v>
      </c>
      <c r="B37" s="472"/>
      <c r="C37" s="472"/>
      <c r="D37" s="472"/>
      <c r="E37" s="472"/>
      <c r="F37" s="472"/>
      <c r="G37" s="472"/>
      <c r="H37" s="472"/>
      <c r="I37" s="472"/>
      <c r="J37" s="472"/>
      <c r="K37" s="47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84">
        <f>SUM(AD37:AH37)</f>
        <v>0</v>
      </c>
      <c r="AJ37" s="759">
        <f t="shared" ref="AJ37:AJ64" si="5">+Q37+W37+AC37+AI37</f>
        <v>0</v>
      </c>
    </row>
    <row r="38" spans="1:36" s="82" customFormat="1" ht="15.75">
      <c r="A38" s="161"/>
      <c r="B38" s="474"/>
      <c r="C38" s="474"/>
      <c r="D38" s="474"/>
      <c r="E38" s="474"/>
      <c r="F38" s="474"/>
      <c r="G38" s="474"/>
      <c r="H38" s="474"/>
      <c r="I38" s="474"/>
      <c r="J38" s="474"/>
      <c r="K38" s="474"/>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84">
        <f t="shared" ref="AI38:AI64" si="6">SUM(AD38:AH38)</f>
        <v>0</v>
      </c>
      <c r="AJ38" s="759">
        <f t="shared" si="5"/>
        <v>0</v>
      </c>
    </row>
    <row r="39" spans="1:36" s="82" customFormat="1" ht="15.75">
      <c r="A39" s="160" t="s">
        <v>289</v>
      </c>
      <c r="B39" s="472"/>
      <c r="C39" s="472"/>
      <c r="D39" s="472"/>
      <c r="E39" s="472"/>
      <c r="F39" s="472"/>
      <c r="G39" s="472"/>
      <c r="H39" s="472"/>
      <c r="I39" s="472"/>
      <c r="J39" s="472"/>
      <c r="K39" s="472"/>
      <c r="L39" s="792"/>
      <c r="M39" s="792"/>
      <c r="N39" s="792"/>
      <c r="O39" s="792"/>
      <c r="P39" s="792"/>
      <c r="Q39" s="792">
        <f>SUM(L39:P39)</f>
        <v>0</v>
      </c>
      <c r="R39" s="792"/>
      <c r="S39" s="792"/>
      <c r="T39" s="792"/>
      <c r="U39" s="792"/>
      <c r="V39" s="792"/>
      <c r="W39" s="792"/>
      <c r="X39" s="792"/>
      <c r="Y39" s="792"/>
      <c r="Z39" s="792"/>
      <c r="AA39" s="792"/>
      <c r="AB39" s="792"/>
      <c r="AC39" s="792"/>
      <c r="AD39" s="792"/>
      <c r="AE39" s="792"/>
      <c r="AF39" s="792"/>
      <c r="AG39" s="792"/>
      <c r="AH39" s="792"/>
      <c r="AI39" s="784">
        <f t="shared" si="6"/>
        <v>0</v>
      </c>
      <c r="AJ39" s="759">
        <f t="shared" si="5"/>
        <v>0</v>
      </c>
    </row>
    <row r="40" spans="1:36" s="82" customFormat="1" ht="25.5">
      <c r="A40" s="160" t="s">
        <v>290</v>
      </c>
      <c r="B40" s="472"/>
      <c r="C40" s="472"/>
      <c r="D40" s="472"/>
      <c r="E40" s="472"/>
      <c r="F40" s="472"/>
      <c r="G40" s="472"/>
      <c r="H40" s="472"/>
      <c r="I40" s="472"/>
      <c r="J40" s="472"/>
      <c r="K40" s="47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84">
        <f t="shared" si="6"/>
        <v>0</v>
      </c>
      <c r="AJ40" s="759">
        <f t="shared" si="5"/>
        <v>0</v>
      </c>
    </row>
    <row r="41" spans="1:36" s="82" customFormat="1" ht="15.75">
      <c r="A41" s="160" t="s">
        <v>291</v>
      </c>
      <c r="B41" s="472"/>
      <c r="C41" s="472"/>
      <c r="D41" s="472"/>
      <c r="E41" s="472"/>
      <c r="F41" s="472"/>
      <c r="G41" s="472"/>
      <c r="H41" s="472"/>
      <c r="I41" s="472"/>
      <c r="J41" s="472"/>
      <c r="K41" s="47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84">
        <f t="shared" si="6"/>
        <v>0</v>
      </c>
      <c r="AJ41" s="759">
        <f t="shared" si="5"/>
        <v>0</v>
      </c>
    </row>
    <row r="42" spans="1:36" s="82" customFormat="1" ht="15.75">
      <c r="A42" s="161"/>
      <c r="B42" s="474"/>
      <c r="C42" s="474"/>
      <c r="D42" s="474"/>
      <c r="E42" s="474"/>
      <c r="F42" s="474"/>
      <c r="G42" s="474"/>
      <c r="H42" s="474"/>
      <c r="I42" s="474"/>
      <c r="J42" s="474"/>
      <c r="K42" s="474"/>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84">
        <f t="shared" si="6"/>
        <v>0</v>
      </c>
      <c r="AJ42" s="759">
        <f t="shared" si="5"/>
        <v>0</v>
      </c>
    </row>
    <row r="43" spans="1:36" s="82" customFormat="1" ht="15.75">
      <c r="A43" s="160" t="s">
        <v>292</v>
      </c>
      <c r="B43" s="472"/>
      <c r="C43" s="472"/>
      <c r="D43" s="472"/>
      <c r="E43" s="472"/>
      <c r="F43" s="472"/>
      <c r="G43" s="472"/>
      <c r="H43" s="472"/>
      <c r="I43" s="472"/>
      <c r="J43" s="472"/>
      <c r="K43" s="47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84">
        <f t="shared" si="6"/>
        <v>0</v>
      </c>
      <c r="AJ43" s="759">
        <f t="shared" si="5"/>
        <v>0</v>
      </c>
    </row>
    <row r="44" spans="1:36" s="82" customFormat="1" ht="15.75">
      <c r="A44" s="161"/>
      <c r="B44" s="474"/>
      <c r="C44" s="474"/>
      <c r="D44" s="474"/>
      <c r="E44" s="474"/>
      <c r="F44" s="474"/>
      <c r="G44" s="474"/>
      <c r="H44" s="474"/>
      <c r="I44" s="474"/>
      <c r="J44" s="474"/>
      <c r="K44" s="474"/>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84">
        <f t="shared" si="6"/>
        <v>0</v>
      </c>
      <c r="AJ44" s="759">
        <f t="shared" si="5"/>
        <v>0</v>
      </c>
    </row>
    <row r="45" spans="1:36" s="82" customFormat="1" ht="15.75">
      <c r="A45" s="160" t="s">
        <v>293</v>
      </c>
      <c r="B45" s="472"/>
      <c r="C45" s="472"/>
      <c r="D45" s="1163"/>
      <c r="E45" s="472"/>
      <c r="F45" s="472"/>
      <c r="G45" s="472"/>
      <c r="H45" s="472"/>
      <c r="I45" s="472"/>
      <c r="J45" s="472"/>
      <c r="K45" s="47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84">
        <f t="shared" si="6"/>
        <v>0</v>
      </c>
      <c r="AJ45" s="759">
        <f t="shared" si="5"/>
        <v>0</v>
      </c>
    </row>
    <row r="46" spans="1:36" s="82" customFormat="1" ht="15.75">
      <c r="A46" s="160"/>
      <c r="B46" s="472"/>
      <c r="C46" s="472"/>
      <c r="D46" s="1163"/>
      <c r="E46" s="472"/>
      <c r="F46" s="472"/>
      <c r="G46" s="472"/>
      <c r="H46" s="472"/>
      <c r="I46" s="472"/>
      <c r="J46" s="472"/>
      <c r="K46" s="47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84">
        <f t="shared" si="6"/>
        <v>0</v>
      </c>
      <c r="AJ46" s="759">
        <f t="shared" si="5"/>
        <v>0</v>
      </c>
    </row>
    <row r="47" spans="1:36" s="82" customFormat="1" ht="25.5">
      <c r="A47" s="162" t="s">
        <v>294</v>
      </c>
      <c r="B47" s="472"/>
      <c r="C47" s="472"/>
      <c r="D47" s="472"/>
      <c r="E47" s="472"/>
      <c r="F47" s="472"/>
      <c r="G47" s="472"/>
      <c r="H47" s="472"/>
      <c r="I47" s="472"/>
      <c r="J47" s="472"/>
      <c r="K47" s="47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84">
        <f t="shared" si="6"/>
        <v>0</v>
      </c>
      <c r="AJ47" s="759">
        <f t="shared" si="5"/>
        <v>0</v>
      </c>
    </row>
    <row r="48" spans="1:36" s="82" customFormat="1" ht="15.75">
      <c r="A48" s="162" t="s">
        <v>295</v>
      </c>
      <c r="B48" s="472"/>
      <c r="C48" s="472"/>
      <c r="D48" s="472"/>
      <c r="E48" s="472"/>
      <c r="F48" s="472"/>
      <c r="G48" s="472"/>
      <c r="H48" s="472"/>
      <c r="I48" s="472"/>
      <c r="J48" s="472"/>
      <c r="K48" s="47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84">
        <f t="shared" si="6"/>
        <v>0</v>
      </c>
      <c r="AJ48" s="759">
        <f t="shared" si="5"/>
        <v>0</v>
      </c>
    </row>
    <row r="49" spans="1:37" s="82" customFormat="1" ht="15.75">
      <c r="A49" s="163"/>
      <c r="B49" s="474"/>
      <c r="C49" s="474"/>
      <c r="D49" s="474"/>
      <c r="E49" s="474"/>
      <c r="F49" s="474"/>
      <c r="G49" s="474"/>
      <c r="H49" s="474"/>
      <c r="I49" s="474"/>
      <c r="J49" s="474"/>
      <c r="K49" s="474"/>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84">
        <f t="shared" si="6"/>
        <v>0</v>
      </c>
      <c r="AJ49" s="759">
        <f t="shared" si="5"/>
        <v>0</v>
      </c>
    </row>
    <row r="50" spans="1:37" s="82" customFormat="1" ht="25.5">
      <c r="A50" s="164" t="s">
        <v>296</v>
      </c>
      <c r="B50" s="456"/>
      <c r="C50" s="456"/>
      <c r="D50" s="456"/>
      <c r="E50" s="456"/>
      <c r="F50" s="456"/>
      <c r="G50" s="456"/>
      <c r="H50" s="456"/>
      <c r="I50" s="127"/>
      <c r="J50" s="456"/>
      <c r="K50" s="456"/>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84">
        <f t="shared" si="6"/>
        <v>0</v>
      </c>
      <c r="AJ50" s="759">
        <f t="shared" si="5"/>
        <v>0</v>
      </c>
    </row>
    <row r="51" spans="1:37" s="82" customFormat="1" ht="63.75" customHeight="1">
      <c r="A51" s="739" t="s">
        <v>297</v>
      </c>
      <c r="B51" s="472"/>
      <c r="C51" s="472"/>
      <c r="D51" s="472" t="s">
        <v>277</v>
      </c>
      <c r="E51" s="473" t="s">
        <v>85</v>
      </c>
      <c r="F51" s="744" t="s">
        <v>719</v>
      </c>
      <c r="G51" s="485" t="s">
        <v>699</v>
      </c>
      <c r="H51" s="472" t="s">
        <v>310</v>
      </c>
      <c r="I51" s="478" t="s">
        <v>298</v>
      </c>
      <c r="J51" s="472" t="s">
        <v>299</v>
      </c>
      <c r="K51" s="472"/>
      <c r="L51" s="791">
        <v>500</v>
      </c>
      <c r="M51" s="792"/>
      <c r="N51" s="792"/>
      <c r="O51" s="792"/>
      <c r="P51" s="792"/>
      <c r="Q51" s="792">
        <f>SUM(L51:P51)</f>
        <v>500</v>
      </c>
      <c r="R51" s="792">
        <v>5000</v>
      </c>
      <c r="S51" s="792"/>
      <c r="T51" s="792"/>
      <c r="U51" s="792">
        <v>5000</v>
      </c>
      <c r="V51" s="792"/>
      <c r="W51" s="792">
        <f>SUM(R51:V51)</f>
        <v>10000</v>
      </c>
      <c r="X51" s="792">
        <v>10500</v>
      </c>
      <c r="Y51" s="792"/>
      <c r="Z51" s="792"/>
      <c r="AA51" s="792">
        <v>10500</v>
      </c>
      <c r="AB51" s="792"/>
      <c r="AC51" s="792">
        <f>SUM(X51:AB51)</f>
        <v>21000</v>
      </c>
      <c r="AD51" s="792">
        <v>12500</v>
      </c>
      <c r="AE51" s="792"/>
      <c r="AF51" s="792">
        <v>10000</v>
      </c>
      <c r="AG51" s="792">
        <v>12500</v>
      </c>
      <c r="AH51" s="792"/>
      <c r="AI51" s="784">
        <f>SUM(AD51:AH51)</f>
        <v>35000</v>
      </c>
      <c r="AJ51" s="759">
        <f t="shared" si="5"/>
        <v>66500</v>
      </c>
    </row>
    <row r="52" spans="1:37" s="82" customFormat="1" ht="15.75">
      <c r="A52" s="163"/>
      <c r="B52" s="474"/>
      <c r="C52" s="474"/>
      <c r="D52" s="474"/>
      <c r="E52" s="474"/>
      <c r="F52" s="745"/>
      <c r="G52" s="474"/>
      <c r="H52" s="474"/>
      <c r="I52" s="474"/>
      <c r="J52" s="474"/>
      <c r="K52" s="474"/>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84">
        <f t="shared" si="6"/>
        <v>0</v>
      </c>
      <c r="AJ52" s="759">
        <f t="shared" si="5"/>
        <v>0</v>
      </c>
    </row>
    <row r="53" spans="1:37" s="82" customFormat="1" ht="25.5">
      <c r="A53" s="739" t="s">
        <v>300</v>
      </c>
      <c r="B53" s="472"/>
      <c r="C53" s="472"/>
      <c r="D53" s="1164" t="s">
        <v>277</v>
      </c>
      <c r="E53" s="1164" t="s">
        <v>92</v>
      </c>
      <c r="F53" s="1242" t="s">
        <v>719</v>
      </c>
      <c r="G53" s="1164" t="s">
        <v>699</v>
      </c>
      <c r="H53" s="1164" t="s">
        <v>311</v>
      </c>
      <c r="I53" s="1173" t="s">
        <v>298</v>
      </c>
      <c r="J53" s="1164" t="s">
        <v>299</v>
      </c>
      <c r="K53" s="1164"/>
      <c r="L53" s="1240">
        <v>1000</v>
      </c>
      <c r="M53" s="1240"/>
      <c r="N53" s="1240"/>
      <c r="O53" s="1240"/>
      <c r="P53" s="1240">
        <v>500</v>
      </c>
      <c r="Q53" s="1240">
        <f>SUM(L53:P55)</f>
        <v>1500</v>
      </c>
      <c r="R53" s="1240">
        <v>6500</v>
      </c>
      <c r="S53" s="1240"/>
      <c r="T53" s="1240"/>
      <c r="U53" s="1240">
        <v>6500</v>
      </c>
      <c r="V53" s="1240">
        <v>500</v>
      </c>
      <c r="W53" s="1240">
        <f>SUM(R53:V55)</f>
        <v>13500</v>
      </c>
      <c r="X53" s="1240">
        <v>8500</v>
      </c>
      <c r="Y53" s="1240"/>
      <c r="Z53" s="1240"/>
      <c r="AA53" s="1240">
        <v>10000</v>
      </c>
      <c r="AB53" s="1240">
        <v>500</v>
      </c>
      <c r="AC53" s="1240">
        <f>SUM(X53:AB55)</f>
        <v>19000</v>
      </c>
      <c r="AD53" s="1240">
        <v>10000</v>
      </c>
      <c r="AE53" s="1240"/>
      <c r="AF53" s="1240"/>
      <c r="AG53" s="1240">
        <v>20000</v>
      </c>
      <c r="AH53" s="1240">
        <v>500</v>
      </c>
      <c r="AI53" s="784">
        <f>SUM(AD53:AH53)</f>
        <v>30500</v>
      </c>
      <c r="AJ53" s="759">
        <f t="shared" si="5"/>
        <v>64500</v>
      </c>
    </row>
    <row r="54" spans="1:37" s="82" customFormat="1" ht="25.5">
      <c r="A54" s="162" t="s">
        <v>301</v>
      </c>
      <c r="B54" s="472"/>
      <c r="C54" s="472"/>
      <c r="D54" s="1163"/>
      <c r="E54" s="1163"/>
      <c r="F54" s="1243"/>
      <c r="G54" s="1163"/>
      <c r="H54" s="1163"/>
      <c r="I54" s="1174"/>
      <c r="J54" s="1163"/>
      <c r="K54" s="1163"/>
      <c r="L54" s="1241"/>
      <c r="M54" s="1241"/>
      <c r="N54" s="1241"/>
      <c r="O54" s="1241"/>
      <c r="P54" s="1241"/>
      <c r="Q54" s="1241"/>
      <c r="R54" s="1241"/>
      <c r="S54" s="1241"/>
      <c r="T54" s="1241"/>
      <c r="U54" s="1241"/>
      <c r="V54" s="1241"/>
      <c r="W54" s="1241"/>
      <c r="X54" s="1241"/>
      <c r="Y54" s="1241"/>
      <c r="Z54" s="1241"/>
      <c r="AA54" s="1241"/>
      <c r="AB54" s="1241"/>
      <c r="AC54" s="1241"/>
      <c r="AD54" s="1241"/>
      <c r="AE54" s="1241"/>
      <c r="AF54" s="1241"/>
      <c r="AG54" s="1241"/>
      <c r="AH54" s="1244"/>
      <c r="AI54" s="784">
        <f t="shared" si="6"/>
        <v>0</v>
      </c>
      <c r="AJ54" s="759">
        <f t="shared" si="5"/>
        <v>0</v>
      </c>
    </row>
    <row r="55" spans="1:37" s="82" customFormat="1" ht="15.75">
      <c r="A55" s="162" t="s">
        <v>302</v>
      </c>
      <c r="B55" s="472"/>
      <c r="C55" s="472"/>
      <c r="D55" s="1163"/>
      <c r="E55" s="1163"/>
      <c r="F55" s="1243"/>
      <c r="G55" s="1163"/>
      <c r="H55" s="1163"/>
      <c r="I55" s="1174"/>
      <c r="J55" s="1163"/>
      <c r="K55" s="1163"/>
      <c r="L55" s="1241"/>
      <c r="M55" s="1241"/>
      <c r="N55" s="1241"/>
      <c r="O55" s="1241"/>
      <c r="P55" s="1241"/>
      <c r="Q55" s="1241"/>
      <c r="R55" s="1241"/>
      <c r="S55" s="1241"/>
      <c r="T55" s="1241"/>
      <c r="U55" s="1241"/>
      <c r="V55" s="1241"/>
      <c r="W55" s="1241"/>
      <c r="X55" s="1241"/>
      <c r="Y55" s="1241"/>
      <c r="Z55" s="1241"/>
      <c r="AA55" s="1241"/>
      <c r="AB55" s="1241"/>
      <c r="AC55" s="1241"/>
      <c r="AD55" s="1241"/>
      <c r="AE55" s="1241"/>
      <c r="AF55" s="1241"/>
      <c r="AG55" s="1241"/>
      <c r="AH55" s="1244"/>
      <c r="AI55" s="784">
        <f t="shared" si="6"/>
        <v>0</v>
      </c>
      <c r="AJ55" s="759">
        <f t="shared" si="5"/>
        <v>0</v>
      </c>
    </row>
    <row r="56" spans="1:37" s="82" customFormat="1" ht="15.75">
      <c r="A56" s="160" t="s">
        <v>303</v>
      </c>
      <c r="B56" s="472"/>
      <c r="C56" s="472"/>
      <c r="D56" s="472"/>
      <c r="E56" s="472"/>
      <c r="F56" s="472"/>
      <c r="G56" s="472"/>
      <c r="H56" s="472"/>
      <c r="I56" s="472"/>
      <c r="J56" s="472"/>
      <c r="K56" s="47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84">
        <f t="shared" si="6"/>
        <v>0</v>
      </c>
      <c r="AJ56" s="759">
        <f t="shared" si="5"/>
        <v>0</v>
      </c>
    </row>
    <row r="57" spans="1:37" s="82" customFormat="1" ht="15.75">
      <c r="A57" s="160" t="s">
        <v>304</v>
      </c>
      <c r="B57" s="472"/>
      <c r="C57" s="472"/>
      <c r="D57" s="472"/>
      <c r="E57" s="472"/>
      <c r="F57" s="472"/>
      <c r="G57" s="472"/>
      <c r="H57" s="472"/>
      <c r="I57" s="472"/>
      <c r="J57" s="472"/>
      <c r="K57" s="47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84">
        <f t="shared" si="6"/>
        <v>0</v>
      </c>
      <c r="AJ57" s="759">
        <f t="shared" si="5"/>
        <v>0</v>
      </c>
    </row>
    <row r="58" spans="1:37" s="82" customFormat="1" ht="15.75">
      <c r="A58" s="160" t="s">
        <v>292</v>
      </c>
      <c r="B58" s="472"/>
      <c r="C58" s="472"/>
      <c r="D58" s="472"/>
      <c r="E58" s="472"/>
      <c r="F58" s="472"/>
      <c r="G58" s="472"/>
      <c r="H58" s="472"/>
      <c r="I58" s="472"/>
      <c r="J58" s="472"/>
      <c r="K58" s="47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84">
        <f t="shared" si="6"/>
        <v>0</v>
      </c>
      <c r="AJ58" s="759">
        <f t="shared" si="5"/>
        <v>0</v>
      </c>
    </row>
    <row r="59" spans="1:37" s="82" customFormat="1" ht="15.75">
      <c r="A59" s="160" t="s">
        <v>293</v>
      </c>
      <c r="B59" s="472"/>
      <c r="C59" s="472"/>
      <c r="D59" s="472"/>
      <c r="E59" s="472"/>
      <c r="F59" s="472"/>
      <c r="G59" s="472"/>
      <c r="H59" s="472"/>
      <c r="I59" s="472"/>
      <c r="J59" s="472"/>
      <c r="K59" s="47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84">
        <f t="shared" si="6"/>
        <v>0</v>
      </c>
      <c r="AJ59" s="759">
        <f t="shared" si="5"/>
        <v>0</v>
      </c>
    </row>
    <row r="60" spans="1:37" s="82" customFormat="1" ht="25.5">
      <c r="A60" s="162" t="s">
        <v>294</v>
      </c>
      <c r="B60" s="472"/>
      <c r="C60" s="472"/>
      <c r="D60" s="472"/>
      <c r="E60" s="472"/>
      <c r="F60" s="472"/>
      <c r="G60" s="472"/>
      <c r="H60" s="472"/>
      <c r="I60" s="472"/>
      <c r="J60" s="472"/>
      <c r="K60" s="47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84">
        <f t="shared" si="6"/>
        <v>0</v>
      </c>
      <c r="AJ60" s="759">
        <f t="shared" si="5"/>
        <v>0</v>
      </c>
    </row>
    <row r="61" spans="1:37" s="82" customFormat="1" ht="15.75">
      <c r="A61" s="162" t="s">
        <v>295</v>
      </c>
      <c r="B61" s="472"/>
      <c r="C61" s="472"/>
      <c r="D61" s="472"/>
      <c r="E61" s="472"/>
      <c r="F61" s="472"/>
      <c r="G61" s="472"/>
      <c r="H61" s="472"/>
      <c r="I61" s="472"/>
      <c r="J61" s="472"/>
      <c r="K61" s="472"/>
      <c r="L61" s="792"/>
      <c r="M61" s="792"/>
      <c r="N61" s="792"/>
      <c r="O61" s="792"/>
      <c r="P61" s="792"/>
      <c r="Q61" s="792"/>
      <c r="R61" s="792"/>
      <c r="S61" s="792"/>
      <c r="T61" s="792"/>
      <c r="U61" s="792"/>
      <c r="V61" s="792"/>
      <c r="W61" s="792"/>
      <c r="X61" s="792"/>
      <c r="Y61" s="792"/>
      <c r="Z61" s="792"/>
      <c r="AA61" s="792"/>
      <c r="AB61" s="792"/>
      <c r="AC61" s="792"/>
      <c r="AD61" s="792"/>
      <c r="AE61" s="792"/>
      <c r="AF61" s="792"/>
      <c r="AG61" s="792"/>
      <c r="AH61" s="792"/>
      <c r="AI61" s="784">
        <f t="shared" si="6"/>
        <v>0</v>
      </c>
      <c r="AJ61" s="759">
        <f t="shared" si="5"/>
        <v>0</v>
      </c>
    </row>
    <row r="62" spans="1:37" s="82" customFormat="1" ht="25.5">
      <c r="A62" s="160" t="s">
        <v>305</v>
      </c>
      <c r="B62" s="472"/>
      <c r="C62" s="472"/>
      <c r="D62" s="472"/>
      <c r="E62" s="472"/>
      <c r="F62" s="472"/>
      <c r="G62" s="472"/>
      <c r="H62" s="472"/>
      <c r="I62" s="472"/>
      <c r="J62" s="472"/>
      <c r="K62" s="472"/>
      <c r="L62" s="792"/>
      <c r="M62" s="792"/>
      <c r="N62" s="792"/>
      <c r="O62" s="792"/>
      <c r="P62" s="792"/>
      <c r="Q62" s="792"/>
      <c r="R62" s="792"/>
      <c r="S62" s="792"/>
      <c r="T62" s="792"/>
      <c r="U62" s="792"/>
      <c r="V62" s="792"/>
      <c r="W62" s="792"/>
      <c r="X62" s="792"/>
      <c r="Y62" s="792"/>
      <c r="Z62" s="792"/>
      <c r="AA62" s="792"/>
      <c r="AB62" s="792"/>
      <c r="AC62" s="792"/>
      <c r="AD62" s="792"/>
      <c r="AE62" s="792"/>
      <c r="AF62" s="792"/>
      <c r="AG62" s="792"/>
      <c r="AH62" s="792"/>
      <c r="AI62" s="784">
        <f t="shared" si="6"/>
        <v>0</v>
      </c>
      <c r="AJ62" s="759">
        <f t="shared" si="5"/>
        <v>0</v>
      </c>
    </row>
    <row r="63" spans="1:37" s="82" customFormat="1" ht="15.75">
      <c r="A63" s="161" t="s">
        <v>306</v>
      </c>
      <c r="B63" s="474"/>
      <c r="C63" s="474"/>
      <c r="D63" s="474"/>
      <c r="E63" s="474"/>
      <c r="F63" s="474"/>
      <c r="G63" s="474"/>
      <c r="H63" s="474"/>
      <c r="I63" s="474"/>
      <c r="J63" s="474"/>
      <c r="K63" s="474"/>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84">
        <f t="shared" si="6"/>
        <v>0</v>
      </c>
      <c r="AJ63" s="759">
        <f t="shared" si="5"/>
        <v>0</v>
      </c>
    </row>
    <row r="64" spans="1:37" s="82" customFormat="1" ht="63.75">
      <c r="A64" s="716" t="s">
        <v>307</v>
      </c>
      <c r="B64" s="1164"/>
      <c r="C64" s="456"/>
      <c r="D64" s="456" t="s">
        <v>277</v>
      </c>
      <c r="E64" s="456" t="s">
        <v>95</v>
      </c>
      <c r="F64" s="726" t="s">
        <v>718</v>
      </c>
      <c r="G64" s="482" t="s">
        <v>708</v>
      </c>
      <c r="H64" s="456" t="s">
        <v>311</v>
      </c>
      <c r="I64" s="456" t="s">
        <v>308</v>
      </c>
      <c r="J64" s="456" t="s">
        <v>299</v>
      </c>
      <c r="K64" s="456"/>
      <c r="L64" s="794"/>
      <c r="M64" s="794"/>
      <c r="N64" s="794"/>
      <c r="O64" s="794"/>
      <c r="P64" s="794"/>
      <c r="Q64" s="794"/>
      <c r="R64" s="794">
        <v>56778</v>
      </c>
      <c r="S64" s="794"/>
      <c r="T64" s="794"/>
      <c r="U64" s="794"/>
      <c r="V64" s="794"/>
      <c r="W64" s="794">
        <v>56778</v>
      </c>
      <c r="X64" s="794"/>
      <c r="Y64" s="794"/>
      <c r="Z64" s="794"/>
      <c r="AA64" s="794"/>
      <c r="AB64" s="794"/>
      <c r="AC64" s="794"/>
      <c r="AD64" s="794"/>
      <c r="AE64" s="794"/>
      <c r="AF64" s="794"/>
      <c r="AG64" s="794"/>
      <c r="AH64" s="794"/>
      <c r="AI64" s="784">
        <f t="shared" si="6"/>
        <v>0</v>
      </c>
      <c r="AJ64" s="759">
        <f t="shared" si="5"/>
        <v>56778</v>
      </c>
      <c r="AK64" s="395">
        <f>SUM(AD65:AH65)</f>
        <v>65500</v>
      </c>
    </row>
    <row r="65" spans="1:37" s="82" customFormat="1" ht="15.75">
      <c r="A65" s="163" t="s">
        <v>690</v>
      </c>
      <c r="B65" s="1165"/>
      <c r="C65" s="456"/>
      <c r="D65" s="456"/>
      <c r="E65" s="456"/>
      <c r="F65" s="456"/>
      <c r="G65" s="456"/>
      <c r="H65" s="456"/>
      <c r="I65" s="456"/>
      <c r="J65" s="456"/>
      <c r="K65" s="456"/>
      <c r="L65" s="321">
        <v>1500</v>
      </c>
      <c r="M65" s="456"/>
      <c r="N65" s="456"/>
      <c r="O65" s="456"/>
      <c r="P65" s="322">
        <v>500</v>
      </c>
      <c r="Q65" s="321">
        <v>1500</v>
      </c>
      <c r="R65" s="321">
        <v>63778</v>
      </c>
      <c r="S65" s="456"/>
      <c r="T65" s="456"/>
      <c r="U65" s="456"/>
      <c r="V65" s="322">
        <v>500</v>
      </c>
      <c r="W65" s="321">
        <v>75778</v>
      </c>
      <c r="X65" s="321">
        <v>19000</v>
      </c>
      <c r="Y65" s="322"/>
      <c r="Z65" s="322"/>
      <c r="AA65" s="321">
        <v>25500</v>
      </c>
      <c r="AB65" s="322">
        <v>500</v>
      </c>
      <c r="AC65" s="321">
        <v>39500</v>
      </c>
      <c r="AD65" s="321">
        <v>22500</v>
      </c>
      <c r="AE65" s="322"/>
      <c r="AF65" s="321">
        <v>10000</v>
      </c>
      <c r="AG65" s="321">
        <v>32500</v>
      </c>
      <c r="AH65" s="322">
        <v>500</v>
      </c>
      <c r="AI65" s="323">
        <v>55000</v>
      </c>
      <c r="AJ65" s="760">
        <v>183278</v>
      </c>
    </row>
    <row r="66" spans="1:37" s="82" customFormat="1" ht="15.75">
      <c r="A66" s="390"/>
      <c r="B66" s="391"/>
      <c r="C66" s="391"/>
      <c r="D66" s="391"/>
      <c r="E66" s="391"/>
      <c r="F66" s="391"/>
      <c r="G66" s="391"/>
      <c r="H66" s="391"/>
      <c r="I66" s="391"/>
      <c r="J66" s="391"/>
      <c r="K66" s="391"/>
      <c r="L66" s="392">
        <f>SUM(L36:L64)</f>
        <v>1500</v>
      </c>
      <c r="M66" s="392">
        <f t="shared" ref="M66:AF66" si="7">SUM(M36:M64)</f>
        <v>0</v>
      </c>
      <c r="N66" s="392">
        <f t="shared" si="7"/>
        <v>0</v>
      </c>
      <c r="O66" s="392">
        <f t="shared" si="7"/>
        <v>0</v>
      </c>
      <c r="P66" s="392">
        <f t="shared" si="7"/>
        <v>500</v>
      </c>
      <c r="Q66" s="392">
        <f>SUM(Q36:Q64)</f>
        <v>2000</v>
      </c>
      <c r="R66" s="392">
        <f t="shared" si="7"/>
        <v>68278</v>
      </c>
      <c r="S66" s="392">
        <f t="shared" si="7"/>
        <v>0</v>
      </c>
      <c r="T66" s="392">
        <f t="shared" si="7"/>
        <v>0</v>
      </c>
      <c r="U66" s="392">
        <f t="shared" si="7"/>
        <v>11500</v>
      </c>
      <c r="V66" s="392">
        <f t="shared" si="7"/>
        <v>500</v>
      </c>
      <c r="W66" s="392">
        <f>SUM(W36:W64)</f>
        <v>80278</v>
      </c>
      <c r="X66" s="392">
        <f>SUM(X36:X64)</f>
        <v>19000</v>
      </c>
      <c r="Y66" s="392">
        <f t="shared" si="7"/>
        <v>0</v>
      </c>
      <c r="Z66" s="392">
        <f t="shared" si="7"/>
        <v>0</v>
      </c>
      <c r="AA66" s="392">
        <f t="shared" si="7"/>
        <v>20500</v>
      </c>
      <c r="AB66" s="392">
        <f t="shared" si="7"/>
        <v>500</v>
      </c>
      <c r="AC66" s="392">
        <f>SUM(AC36:AC64)</f>
        <v>40000</v>
      </c>
      <c r="AD66" s="392">
        <f t="shared" si="7"/>
        <v>22500</v>
      </c>
      <c r="AE66" s="392">
        <f t="shared" si="7"/>
        <v>0</v>
      </c>
      <c r="AF66" s="392">
        <f t="shared" si="7"/>
        <v>10000</v>
      </c>
      <c r="AG66" s="392">
        <f>SUM(AG36:AG64)</f>
        <v>32500</v>
      </c>
      <c r="AH66" s="392">
        <f>SUM(AH36:AH64)</f>
        <v>500</v>
      </c>
      <c r="AI66" s="392">
        <f>SUM(AI36:AI64)</f>
        <v>65500</v>
      </c>
      <c r="AJ66" s="761">
        <f>SUM(AI66+AC66+W66+Q66)</f>
        <v>187778</v>
      </c>
      <c r="AK66" s="394"/>
    </row>
    <row r="67" spans="1:37">
      <c r="A67" s="137"/>
      <c r="B67" s="137"/>
      <c r="C67" s="137"/>
      <c r="D67" s="137"/>
      <c r="E67" s="137"/>
      <c r="F67" s="137"/>
      <c r="G67" s="137"/>
      <c r="H67" s="137"/>
      <c r="I67" s="137"/>
      <c r="J67" s="137"/>
      <c r="K67" s="137"/>
      <c r="L67" s="137"/>
      <c r="M67" s="137"/>
      <c r="N67" s="137"/>
      <c r="O67" s="137"/>
      <c r="P67" s="137"/>
      <c r="Q67" s="409">
        <f>SUM(L66:P66)</f>
        <v>2000</v>
      </c>
      <c r="R67" s="137"/>
      <c r="S67" s="137"/>
      <c r="T67" s="137"/>
      <c r="U67" s="137"/>
      <c r="V67" s="137"/>
      <c r="W67" s="409">
        <f>SUM(R66:V66)</f>
        <v>80278</v>
      </c>
      <c r="X67" s="137"/>
      <c r="Y67" s="137"/>
      <c r="Z67" s="137"/>
      <c r="AA67" s="137"/>
      <c r="AB67" s="137"/>
      <c r="AC67" s="409">
        <f>SUM(X66:AB66)</f>
        <v>40000</v>
      </c>
      <c r="AD67" s="137"/>
      <c r="AE67" s="137"/>
      <c r="AF67" s="137"/>
      <c r="AG67" s="137"/>
      <c r="AH67" s="409">
        <f>SUM(AD66:AH66)</f>
        <v>65500</v>
      </c>
      <c r="AJ67" s="757">
        <f>AI65+AC65+W65+Q65</f>
        <v>171778</v>
      </c>
    </row>
    <row r="68" spans="1:37">
      <c r="A68" s="138" t="s">
        <v>312</v>
      </c>
      <c r="B68" s="33"/>
      <c r="C68" s="33"/>
      <c r="D68" s="33"/>
      <c r="E68" s="33"/>
      <c r="F68" s="33"/>
      <c r="G68" s="33"/>
      <c r="H68" s="33"/>
      <c r="I68" s="33"/>
      <c r="J68" s="33"/>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J68" s="757"/>
    </row>
    <row r="69" spans="1:37">
      <c r="A69" s="137"/>
      <c r="B69" s="1166"/>
      <c r="C69" s="1166"/>
      <c r="D69" s="1166"/>
      <c r="E69" s="1166"/>
      <c r="F69" s="1166"/>
      <c r="G69" s="1166"/>
      <c r="H69" s="1166"/>
      <c r="I69" s="1166"/>
      <c r="J69" s="84"/>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J69" s="757"/>
    </row>
    <row r="70" spans="1:37">
      <c r="A70" s="1167"/>
      <c r="B70" s="452"/>
      <c r="C70" s="452"/>
      <c r="D70" s="1014" t="s">
        <v>0</v>
      </c>
      <c r="E70" s="1014" t="s">
        <v>210</v>
      </c>
      <c r="F70" s="1020" t="s">
        <v>5</v>
      </c>
      <c r="G70" s="1021"/>
      <c r="H70" s="1014" t="s">
        <v>22</v>
      </c>
      <c r="I70" s="1014" t="s">
        <v>211</v>
      </c>
      <c r="J70" s="1014" t="s">
        <v>212</v>
      </c>
      <c r="K70" s="1014" t="s">
        <v>213</v>
      </c>
      <c r="L70" s="1154" t="s">
        <v>214</v>
      </c>
      <c r="M70" s="1154"/>
      <c r="N70" s="1154"/>
      <c r="O70" s="1154"/>
      <c r="P70" s="1154"/>
      <c r="Q70" s="1154"/>
      <c r="R70" s="1154"/>
      <c r="S70" s="1154"/>
      <c r="T70" s="1154"/>
      <c r="U70" s="1154"/>
      <c r="V70" s="1154"/>
      <c r="W70" s="1154"/>
      <c r="X70" s="1154"/>
      <c r="Y70" s="1154"/>
      <c r="Z70" s="1154"/>
      <c r="AA70" s="1154"/>
      <c r="AB70" s="1154"/>
      <c r="AC70" s="1154"/>
      <c r="AD70" s="1154"/>
      <c r="AE70" s="1154"/>
      <c r="AF70" s="1154"/>
      <c r="AG70" s="1154"/>
      <c r="AH70" s="1154"/>
      <c r="AJ70" s="757"/>
    </row>
    <row r="71" spans="1:37" ht="38.25">
      <c r="A71" s="1168"/>
      <c r="B71" s="453" t="s">
        <v>215</v>
      </c>
      <c r="C71" s="453" t="s">
        <v>216</v>
      </c>
      <c r="D71" s="1015"/>
      <c r="E71" s="1015"/>
      <c r="F71" s="1008" t="s">
        <v>217</v>
      </c>
      <c r="G71" s="1008" t="s">
        <v>6</v>
      </c>
      <c r="H71" s="1015"/>
      <c r="I71" s="1015"/>
      <c r="J71" s="1015"/>
      <c r="K71" s="1015"/>
      <c r="L71" s="1151" t="s">
        <v>12</v>
      </c>
      <c r="M71" s="1152"/>
      <c r="N71" s="1152"/>
      <c r="O71" s="1152"/>
      <c r="P71" s="1152"/>
      <c r="Q71" s="1152"/>
      <c r="R71" s="1151" t="s">
        <v>13</v>
      </c>
      <c r="S71" s="1152"/>
      <c r="T71" s="1152"/>
      <c r="U71" s="1152"/>
      <c r="V71" s="1152"/>
      <c r="W71" s="1152"/>
      <c r="X71" s="1153" t="s">
        <v>14</v>
      </c>
      <c r="Y71" s="1154"/>
      <c r="Z71" s="1154"/>
      <c r="AA71" s="1154"/>
      <c r="AB71" s="1154"/>
      <c r="AC71" s="1155"/>
      <c r="AD71" s="1151" t="s">
        <v>15</v>
      </c>
      <c r="AE71" s="1152"/>
      <c r="AF71" s="1152"/>
      <c r="AG71" s="1152"/>
      <c r="AH71" s="1152"/>
      <c r="AI71" s="315" t="s">
        <v>688</v>
      </c>
      <c r="AJ71" s="765" t="s">
        <v>689</v>
      </c>
    </row>
    <row r="72" spans="1:37" ht="25.5">
      <c r="A72" s="1169"/>
      <c r="B72" s="454"/>
      <c r="C72" s="454"/>
      <c r="D72" s="1016"/>
      <c r="E72" s="1016"/>
      <c r="F72" s="1009"/>
      <c r="G72" s="1009"/>
      <c r="H72" s="1016"/>
      <c r="I72" s="1016"/>
      <c r="J72" s="1016"/>
      <c r="K72" s="1016"/>
      <c r="L72" s="480" t="s">
        <v>1</v>
      </c>
      <c r="M72" s="480" t="s">
        <v>9</v>
      </c>
      <c r="N72" s="480" t="s">
        <v>218</v>
      </c>
      <c r="O72" s="460" t="s">
        <v>17</v>
      </c>
      <c r="P72" s="460" t="s">
        <v>19</v>
      </c>
      <c r="Q72" s="460" t="s">
        <v>4</v>
      </c>
      <c r="R72" s="480" t="s">
        <v>1</v>
      </c>
      <c r="S72" s="480" t="s">
        <v>2</v>
      </c>
      <c r="T72" s="480" t="s">
        <v>219</v>
      </c>
      <c r="U72" s="480" t="s">
        <v>17</v>
      </c>
      <c r="V72" s="480" t="s">
        <v>19</v>
      </c>
      <c r="W72" s="480" t="s">
        <v>4</v>
      </c>
      <c r="X72" s="480" t="s">
        <v>1</v>
      </c>
      <c r="Y72" s="480" t="s">
        <v>9</v>
      </c>
      <c r="Z72" s="480" t="s">
        <v>218</v>
      </c>
      <c r="AA72" s="460" t="s">
        <v>17</v>
      </c>
      <c r="AB72" s="460" t="s">
        <v>19</v>
      </c>
      <c r="AC72" s="460" t="s">
        <v>4</v>
      </c>
      <c r="AD72" s="480" t="s">
        <v>1</v>
      </c>
      <c r="AE72" s="480" t="s">
        <v>9</v>
      </c>
      <c r="AF72" s="480" t="s">
        <v>219</v>
      </c>
      <c r="AG72" s="460" t="s">
        <v>17</v>
      </c>
      <c r="AH72" s="460" t="s">
        <v>19</v>
      </c>
      <c r="AI72" s="313"/>
      <c r="AJ72" s="766"/>
    </row>
    <row r="73" spans="1:37" ht="15.75">
      <c r="A73" s="475"/>
      <c r="B73" s="454" t="s">
        <v>33</v>
      </c>
      <c r="C73" s="454" t="s">
        <v>34</v>
      </c>
      <c r="D73" s="450" t="s">
        <v>45</v>
      </c>
      <c r="E73" s="451" t="s">
        <v>220</v>
      </c>
      <c r="F73" s="454" t="s">
        <v>36</v>
      </c>
      <c r="G73" s="454" t="s">
        <v>37</v>
      </c>
      <c r="H73" s="454" t="s">
        <v>38</v>
      </c>
      <c r="I73" s="454" t="s">
        <v>39</v>
      </c>
      <c r="J73" s="455" t="s">
        <v>40</v>
      </c>
      <c r="K73" s="455" t="s">
        <v>41</v>
      </c>
      <c r="L73" s="11" t="s">
        <v>221</v>
      </c>
      <c r="M73" s="11" t="s">
        <v>222</v>
      </c>
      <c r="N73" s="11" t="s">
        <v>223</v>
      </c>
      <c r="O73" s="455" t="s">
        <v>224</v>
      </c>
      <c r="P73" s="455" t="s">
        <v>225</v>
      </c>
      <c r="Q73" s="455" t="s">
        <v>226</v>
      </c>
      <c r="R73" s="455" t="s">
        <v>227</v>
      </c>
      <c r="S73" s="455" t="s">
        <v>228</v>
      </c>
      <c r="T73" s="455" t="s">
        <v>229</v>
      </c>
      <c r="U73" s="455" t="s">
        <v>230</v>
      </c>
      <c r="V73" s="11" t="s">
        <v>231</v>
      </c>
      <c r="W73" s="11" t="s">
        <v>232</v>
      </c>
      <c r="X73" s="11" t="s">
        <v>233</v>
      </c>
      <c r="Y73" s="455" t="s">
        <v>234</v>
      </c>
      <c r="Z73" s="455" t="s">
        <v>235</v>
      </c>
      <c r="AA73" s="11" t="s">
        <v>236</v>
      </c>
      <c r="AB73" s="11" t="s">
        <v>237</v>
      </c>
      <c r="AC73" s="11" t="s">
        <v>238</v>
      </c>
      <c r="AD73" s="455" t="s">
        <v>239</v>
      </c>
      <c r="AE73" s="455" t="s">
        <v>240</v>
      </c>
      <c r="AF73" s="455" t="s">
        <v>241</v>
      </c>
      <c r="AG73" s="455" t="s">
        <v>242</v>
      </c>
      <c r="AH73" s="455" t="s">
        <v>243</v>
      </c>
      <c r="AI73" s="313"/>
      <c r="AJ73" s="759"/>
    </row>
    <row r="74" spans="1:37" ht="25.5">
      <c r="A74" s="4" t="s">
        <v>313</v>
      </c>
      <c r="B74" s="6"/>
      <c r="C74" s="6"/>
      <c r="D74" s="88"/>
      <c r="E74" s="88"/>
      <c r="F74" s="89"/>
      <c r="G74" s="90"/>
      <c r="H74" s="25"/>
      <c r="I74" s="25"/>
      <c r="J74" s="90"/>
      <c r="K74" s="4"/>
      <c r="L74" s="1"/>
      <c r="M74" s="1"/>
      <c r="N74" s="1"/>
      <c r="O74" s="1"/>
      <c r="P74" s="1"/>
      <c r="Q74" s="408">
        <f>SUM(L74:P74)</f>
        <v>0</v>
      </c>
      <c r="R74" s="1"/>
      <c r="S74" s="1"/>
      <c r="T74" s="1"/>
      <c r="U74" s="1"/>
      <c r="V74" s="1"/>
      <c r="W74" s="2"/>
      <c r="X74" s="2"/>
      <c r="Y74" s="2"/>
      <c r="Z74" s="2"/>
      <c r="AA74" s="2"/>
      <c r="AB74" s="2"/>
      <c r="AC74" s="2"/>
      <c r="AD74" s="1"/>
      <c r="AE74" s="1"/>
      <c r="AF74" s="1"/>
      <c r="AG74" s="1"/>
      <c r="AH74" s="1"/>
      <c r="AI74" s="313"/>
      <c r="AJ74" s="759">
        <f>+Q74+W74+AC74+AI74</f>
        <v>0</v>
      </c>
    </row>
    <row r="75" spans="1:37" ht="38.25">
      <c r="A75" s="4" t="s">
        <v>314</v>
      </c>
      <c r="B75" s="6"/>
      <c r="C75" s="6"/>
      <c r="D75" s="91"/>
      <c r="E75" s="91"/>
      <c r="F75" s="91"/>
      <c r="G75" s="92"/>
      <c r="H75" s="92"/>
      <c r="I75" s="92"/>
      <c r="J75" s="92"/>
      <c r="K75" s="4"/>
      <c r="L75" s="1"/>
      <c r="M75" s="1"/>
      <c r="N75" s="1"/>
      <c r="O75" s="1"/>
      <c r="P75" s="1"/>
      <c r="Q75" s="407"/>
      <c r="R75" s="1"/>
      <c r="S75" s="1"/>
      <c r="T75" s="1"/>
      <c r="U75" s="1"/>
      <c r="V75" s="1"/>
      <c r="W75" s="1"/>
      <c r="X75" s="1"/>
      <c r="Y75" s="1"/>
      <c r="Z75" s="1"/>
      <c r="AA75" s="1"/>
      <c r="AB75" s="1"/>
      <c r="AC75" s="1"/>
      <c r="AD75" s="1"/>
      <c r="AE75" s="1"/>
      <c r="AF75" s="1"/>
      <c r="AG75" s="1"/>
      <c r="AH75" s="1"/>
      <c r="AI75" s="313"/>
      <c r="AJ75" s="759">
        <f t="shared" ref="AJ75:AJ92" si="8">+Q75+W75+AC75+AI75</f>
        <v>0</v>
      </c>
    </row>
    <row r="76" spans="1:37" ht="38.25">
      <c r="A76" s="4" t="s">
        <v>315</v>
      </c>
      <c r="B76" s="6"/>
      <c r="C76" s="6"/>
      <c r="D76" s="88"/>
      <c r="E76" s="93"/>
      <c r="F76" s="469"/>
      <c r="G76" s="92"/>
      <c r="H76" s="90"/>
      <c r="I76" s="90"/>
      <c r="J76" s="90"/>
      <c r="K76" s="4"/>
      <c r="L76" s="1"/>
      <c r="M76" s="467"/>
      <c r="N76" s="1"/>
      <c r="O76" s="1"/>
      <c r="P76" s="1"/>
      <c r="Q76" s="396"/>
      <c r="R76" s="1"/>
      <c r="S76" s="1"/>
      <c r="T76" s="1"/>
      <c r="U76" s="1"/>
      <c r="V76" s="1"/>
      <c r="W76" s="1"/>
      <c r="X76" s="1"/>
      <c r="Y76" s="1"/>
      <c r="Z76" s="1"/>
      <c r="AA76" s="1"/>
      <c r="AB76" s="1"/>
      <c r="AC76" s="1"/>
      <c r="AD76" s="1"/>
      <c r="AE76" s="1"/>
      <c r="AF76" s="1"/>
      <c r="AG76" s="1"/>
      <c r="AH76" s="1"/>
      <c r="AI76" s="313"/>
      <c r="AJ76" s="759">
        <f t="shared" si="8"/>
        <v>0</v>
      </c>
    </row>
    <row r="77" spans="1:37" ht="89.25">
      <c r="A77" s="4" t="s">
        <v>316</v>
      </c>
      <c r="B77" s="6"/>
      <c r="C77" s="6"/>
      <c r="D77" s="92"/>
      <c r="E77" s="92"/>
      <c r="F77" s="92"/>
      <c r="G77" s="92"/>
      <c r="H77" s="92"/>
      <c r="I77" s="92"/>
      <c r="J77" s="92"/>
      <c r="K77" s="4"/>
      <c r="L77" s="1"/>
      <c r="M77" s="1"/>
      <c r="N77" s="1"/>
      <c r="O77" s="1"/>
      <c r="P77" s="1"/>
      <c r="Q77" s="407"/>
      <c r="R77" s="1"/>
      <c r="S77" s="1"/>
      <c r="T77" s="1"/>
      <c r="U77" s="1"/>
      <c r="V77" s="1"/>
      <c r="W77" s="1"/>
      <c r="X77" s="1"/>
      <c r="Y77" s="1"/>
      <c r="Z77" s="1"/>
      <c r="AA77" s="1"/>
      <c r="AB77" s="1"/>
      <c r="AC77" s="1"/>
      <c r="AD77" s="1"/>
      <c r="AE77" s="1"/>
      <c r="AF77" s="1"/>
      <c r="AG77" s="1"/>
      <c r="AH77" s="1"/>
      <c r="AI77" s="313"/>
      <c r="AJ77" s="759">
        <f t="shared" si="8"/>
        <v>0</v>
      </c>
    </row>
    <row r="78" spans="1:37" ht="25.5">
      <c r="A78" s="4" t="s">
        <v>317</v>
      </c>
      <c r="B78" s="6"/>
      <c r="C78" s="6"/>
      <c r="D78" s="92"/>
      <c r="E78" s="92"/>
      <c r="F78" s="92"/>
      <c r="G78" s="92"/>
      <c r="H78" s="92"/>
      <c r="I78" s="92"/>
      <c r="J78" s="92"/>
      <c r="K78" s="4"/>
      <c r="L78" s="1"/>
      <c r="M78" s="97"/>
      <c r="N78" s="1"/>
      <c r="O78" s="1"/>
      <c r="P78" s="1"/>
      <c r="Q78" s="407"/>
      <c r="R78" s="1"/>
      <c r="S78" s="1"/>
      <c r="T78" s="1"/>
      <c r="U78" s="1"/>
      <c r="V78" s="1"/>
      <c r="W78" s="1"/>
      <c r="X78" s="1"/>
      <c r="Y78" s="1"/>
      <c r="Z78" s="1"/>
      <c r="AA78" s="1"/>
      <c r="AB78" s="1"/>
      <c r="AC78" s="1"/>
      <c r="AD78" s="1"/>
      <c r="AE78" s="1"/>
      <c r="AF78" s="1"/>
      <c r="AG78" s="1"/>
      <c r="AH78" s="1"/>
      <c r="AI78" s="313"/>
      <c r="AJ78" s="759">
        <f t="shared" si="8"/>
        <v>0</v>
      </c>
    </row>
    <row r="79" spans="1:37" ht="114.75">
      <c r="A79" s="716" t="s">
        <v>318</v>
      </c>
      <c r="B79" s="6"/>
      <c r="C79" s="6"/>
      <c r="D79" s="98" t="s">
        <v>79</v>
      </c>
      <c r="E79" s="4" t="s">
        <v>78</v>
      </c>
      <c r="F79" s="746" t="s">
        <v>80</v>
      </c>
      <c r="G79" s="99" t="s">
        <v>80</v>
      </c>
      <c r="H79" s="100" t="s">
        <v>309</v>
      </c>
      <c r="I79" s="4" t="s">
        <v>319</v>
      </c>
      <c r="J79" s="4" t="s">
        <v>320</v>
      </c>
      <c r="K79" s="4"/>
      <c r="L79" s="754">
        <v>120000</v>
      </c>
      <c r="M79" s="754"/>
      <c r="N79" s="754"/>
      <c r="O79" s="754"/>
      <c r="P79" s="754"/>
      <c r="Q79" s="795">
        <f>SUM(L79:P79)</f>
        <v>120000</v>
      </c>
      <c r="R79" s="754">
        <v>126000</v>
      </c>
      <c r="S79" s="754"/>
      <c r="T79" s="754"/>
      <c r="U79" s="754"/>
      <c r="V79" s="754"/>
      <c r="W79" s="795">
        <f>SUM(R79:V79)</f>
        <v>126000</v>
      </c>
      <c r="X79" s="754">
        <v>132300</v>
      </c>
      <c r="Y79" s="754"/>
      <c r="Z79" s="754"/>
      <c r="AA79" s="754"/>
      <c r="AB79" s="754"/>
      <c r="AC79" s="795">
        <f>SUM(X79:AB79)</f>
        <v>132300</v>
      </c>
      <c r="AD79" s="754">
        <v>138920</v>
      </c>
      <c r="AE79" s="754"/>
      <c r="AF79" s="754"/>
      <c r="AG79" s="754"/>
      <c r="AH79" s="754"/>
      <c r="AI79" s="784">
        <f>SUM(AD79:AH79)</f>
        <v>138920</v>
      </c>
      <c r="AJ79" s="759">
        <f t="shared" si="8"/>
        <v>517220</v>
      </c>
    </row>
    <row r="80" spans="1:37" ht="216.75">
      <c r="A80" s="716" t="s">
        <v>321</v>
      </c>
      <c r="B80" s="4"/>
      <c r="C80" s="4"/>
      <c r="D80" s="98" t="s">
        <v>79</v>
      </c>
      <c r="E80" s="4" t="s">
        <v>322</v>
      </c>
      <c r="F80" s="746" t="s">
        <v>80</v>
      </c>
      <c r="G80" s="99" t="s">
        <v>80</v>
      </c>
      <c r="H80" s="100" t="s">
        <v>309</v>
      </c>
      <c r="I80" s="4" t="s">
        <v>319</v>
      </c>
      <c r="J80" s="4" t="s">
        <v>320</v>
      </c>
      <c r="K80" s="13"/>
      <c r="L80" s="8">
        <v>14000</v>
      </c>
      <c r="M80" s="8"/>
      <c r="N80" s="8"/>
      <c r="O80" s="8"/>
      <c r="P80" s="8"/>
      <c r="Q80" s="795">
        <f>SUM(L80:P80)</f>
        <v>14000</v>
      </c>
      <c r="R80" s="8">
        <v>50000</v>
      </c>
      <c r="S80" s="8"/>
      <c r="T80" s="8"/>
      <c r="U80" s="8"/>
      <c r="V80" s="8"/>
      <c r="W80" s="795">
        <f>SUM(R80:V80)</f>
        <v>50000</v>
      </c>
      <c r="X80" s="8">
        <v>100000</v>
      </c>
      <c r="Y80" s="8"/>
      <c r="Z80" s="8"/>
      <c r="AA80" s="8"/>
      <c r="AB80" s="8"/>
      <c r="AC80" s="795">
        <f>SUM(X80:AB80)</f>
        <v>100000</v>
      </c>
      <c r="AD80" s="8">
        <v>100</v>
      </c>
      <c r="AE80" s="8"/>
      <c r="AF80" s="8"/>
      <c r="AG80" s="8"/>
      <c r="AH80" s="8"/>
      <c r="AI80" s="784">
        <f>SUM(AD80:AH80)</f>
        <v>100</v>
      </c>
      <c r="AJ80" s="759">
        <f t="shared" si="8"/>
        <v>164100</v>
      </c>
    </row>
    <row r="81" spans="1:36" ht="127.5">
      <c r="A81" s="716" t="s">
        <v>323</v>
      </c>
      <c r="B81" s="4"/>
      <c r="C81" s="4"/>
      <c r="D81" s="90" t="s">
        <v>324</v>
      </c>
      <c r="E81" s="4" t="s">
        <v>325</v>
      </c>
      <c r="F81" s="747" t="s">
        <v>721</v>
      </c>
      <c r="G81" s="99" t="s">
        <v>326</v>
      </c>
      <c r="H81" s="100" t="s">
        <v>309</v>
      </c>
      <c r="I81" s="4" t="s">
        <v>319</v>
      </c>
      <c r="J81" s="4" t="s">
        <v>320</v>
      </c>
      <c r="K81" s="4"/>
      <c r="L81" s="8">
        <v>10000</v>
      </c>
      <c r="M81" s="8"/>
      <c r="N81" s="8"/>
      <c r="O81" s="8"/>
      <c r="P81" s="8"/>
      <c r="Q81" s="795">
        <f>SUM(L81:P81)</f>
        <v>10000</v>
      </c>
      <c r="R81" s="8">
        <v>5000</v>
      </c>
      <c r="S81" s="8"/>
      <c r="T81" s="8"/>
      <c r="U81" s="8"/>
      <c r="V81" s="8"/>
      <c r="W81" s="795">
        <f>SUM(R81:V81)</f>
        <v>5000</v>
      </c>
      <c r="X81" s="8">
        <v>5000</v>
      </c>
      <c r="Y81" s="8"/>
      <c r="Z81" s="8"/>
      <c r="AA81" s="8"/>
      <c r="AB81" s="8"/>
      <c r="AC81" s="795">
        <f>SUM(X81:AB81)</f>
        <v>5000</v>
      </c>
      <c r="AD81" s="8">
        <v>5000</v>
      </c>
      <c r="AE81" s="8"/>
      <c r="AF81" s="8"/>
      <c r="AG81" s="8"/>
      <c r="AH81" s="8"/>
      <c r="AI81" s="784">
        <f>SUM(AD81:AH81)</f>
        <v>5000</v>
      </c>
      <c r="AJ81" s="759">
        <f t="shared" si="8"/>
        <v>25000</v>
      </c>
    </row>
    <row r="82" spans="1:36" ht="25.5">
      <c r="A82" s="4" t="s">
        <v>327</v>
      </c>
      <c r="B82" s="4"/>
      <c r="C82" s="4"/>
      <c r="D82" s="6"/>
      <c r="E82" s="6"/>
      <c r="G82" s="6"/>
      <c r="H82" s="6"/>
      <c r="I82" s="6"/>
      <c r="J82" s="6"/>
      <c r="K82" s="4"/>
      <c r="L82" s="8"/>
      <c r="M82" s="8"/>
      <c r="N82" s="8"/>
      <c r="O82" s="8"/>
      <c r="P82" s="8"/>
      <c r="Q82" s="796">
        <f>SUM(L82:P82)</f>
        <v>0</v>
      </c>
      <c r="R82" s="8"/>
      <c r="S82" s="8"/>
      <c r="T82" s="8"/>
      <c r="U82" s="8"/>
      <c r="V82" s="8"/>
      <c r="W82" s="795">
        <f>SUM(R82:V82)</f>
        <v>0</v>
      </c>
      <c r="X82" s="8"/>
      <c r="Y82" s="8"/>
      <c r="Z82" s="8"/>
      <c r="AA82" s="8"/>
      <c r="AB82" s="8"/>
      <c r="AC82" s="795">
        <f>SUM(X82:AB82)</f>
        <v>0</v>
      </c>
      <c r="AD82" s="8"/>
      <c r="AE82" s="8"/>
      <c r="AF82" s="8"/>
      <c r="AG82" s="8"/>
      <c r="AH82" s="8"/>
      <c r="AI82" s="784">
        <f>SUM(AD82:AH82)</f>
        <v>0</v>
      </c>
      <c r="AJ82" s="759">
        <f t="shared" si="8"/>
        <v>0</v>
      </c>
    </row>
    <row r="83" spans="1:36" ht="242.25">
      <c r="A83" s="716" t="s">
        <v>328</v>
      </c>
      <c r="B83" s="6"/>
      <c r="C83" s="6"/>
      <c r="D83" s="90" t="s">
        <v>329</v>
      </c>
      <c r="E83" s="4" t="s">
        <v>330</v>
      </c>
      <c r="F83" s="746" t="s">
        <v>80</v>
      </c>
      <c r="G83" s="99" t="s">
        <v>80</v>
      </c>
      <c r="H83" s="100" t="s">
        <v>309</v>
      </c>
      <c r="I83" s="4" t="s">
        <v>319</v>
      </c>
      <c r="J83" s="4" t="s">
        <v>320</v>
      </c>
      <c r="K83" s="4"/>
      <c r="L83" s="8">
        <v>15000</v>
      </c>
      <c r="M83" s="8"/>
      <c r="N83" s="8"/>
      <c r="O83" s="8"/>
      <c r="P83" s="8"/>
      <c r="Q83" s="796">
        <f>SUM(L83:P83)</f>
        <v>15000</v>
      </c>
      <c r="R83" s="8">
        <v>10000</v>
      </c>
      <c r="S83" s="8"/>
      <c r="T83" s="8"/>
      <c r="U83" s="8"/>
      <c r="V83" s="8"/>
      <c r="W83" s="795">
        <f>SUM(R83:V83)</f>
        <v>10000</v>
      </c>
      <c r="X83" s="8">
        <v>10000</v>
      </c>
      <c r="Y83" s="8"/>
      <c r="Z83" s="8"/>
      <c r="AA83" s="8"/>
      <c r="AB83" s="8"/>
      <c r="AC83" s="795">
        <f>SUM(X83:AB83)</f>
        <v>10000</v>
      </c>
      <c r="AD83" s="8">
        <v>5000</v>
      </c>
      <c r="AE83" s="8"/>
      <c r="AF83" s="8"/>
      <c r="AG83" s="8"/>
      <c r="AH83" s="8"/>
      <c r="AI83" s="784">
        <f>SUM(AD83:AH83)</f>
        <v>5000</v>
      </c>
      <c r="AJ83" s="759">
        <f t="shared" si="8"/>
        <v>40000</v>
      </c>
    </row>
    <row r="84" spans="1:36" ht="51">
      <c r="A84" s="4" t="s">
        <v>331</v>
      </c>
      <c r="B84" s="6"/>
      <c r="C84" s="6"/>
      <c r="D84" s="91"/>
      <c r="E84" s="91"/>
      <c r="F84" s="91"/>
      <c r="G84" s="92"/>
      <c r="H84" s="92"/>
      <c r="I84" s="92"/>
      <c r="J84" s="92"/>
      <c r="K84" s="4"/>
      <c r="L84" s="754"/>
      <c r="M84" s="754"/>
      <c r="N84" s="754"/>
      <c r="O84" s="754"/>
      <c r="P84" s="754"/>
      <c r="Q84" s="795"/>
      <c r="R84" s="754"/>
      <c r="S84" s="754"/>
      <c r="T84" s="754"/>
      <c r="U84" s="754"/>
      <c r="V84" s="754"/>
      <c r="W84" s="754"/>
      <c r="X84" s="754"/>
      <c r="Y84" s="754"/>
      <c r="Z84" s="754"/>
      <c r="AA84" s="754"/>
      <c r="AB84" s="754"/>
      <c r="AC84" s="754"/>
      <c r="AD84" s="754"/>
      <c r="AE84" s="754"/>
      <c r="AF84" s="754"/>
      <c r="AG84" s="754"/>
      <c r="AH84" s="754"/>
      <c r="AI84" s="759"/>
      <c r="AJ84" s="759">
        <f t="shared" si="8"/>
        <v>0</v>
      </c>
    </row>
    <row r="85" spans="1:36" ht="63.75">
      <c r="A85" s="13" t="s">
        <v>332</v>
      </c>
      <c r="B85" s="6"/>
      <c r="C85" s="6"/>
      <c r="D85" s="92"/>
      <c r="E85" s="92"/>
      <c r="F85" s="92"/>
      <c r="G85" s="92"/>
      <c r="H85" s="92"/>
      <c r="I85" s="92"/>
      <c r="J85" s="92"/>
      <c r="K85" s="4"/>
      <c r="L85" s="754"/>
      <c r="M85" s="754"/>
      <c r="N85" s="754"/>
      <c r="O85" s="754"/>
      <c r="P85" s="754"/>
      <c r="Q85" s="795"/>
      <c r="R85" s="754"/>
      <c r="S85" s="754"/>
      <c r="T85" s="754"/>
      <c r="U85" s="754"/>
      <c r="V85" s="754"/>
      <c r="W85" s="754"/>
      <c r="X85" s="754"/>
      <c r="Y85" s="754"/>
      <c r="Z85" s="754"/>
      <c r="AA85" s="754"/>
      <c r="AB85" s="754"/>
      <c r="AC85" s="754"/>
      <c r="AD85" s="754"/>
      <c r="AE85" s="754"/>
      <c r="AF85" s="754"/>
      <c r="AG85" s="754"/>
      <c r="AH85" s="754"/>
      <c r="AI85" s="759"/>
      <c r="AJ85" s="759">
        <f t="shared" si="8"/>
        <v>0</v>
      </c>
    </row>
    <row r="86" spans="1:36" ht="63.75">
      <c r="A86" s="4" t="s">
        <v>333</v>
      </c>
      <c r="B86" s="6"/>
      <c r="C86" s="6"/>
      <c r="D86" s="1137" t="s">
        <v>334</v>
      </c>
      <c r="E86" s="1137" t="s">
        <v>335</v>
      </c>
      <c r="F86" s="1237" t="s">
        <v>80</v>
      </c>
      <c r="G86" s="1141" t="s">
        <v>80</v>
      </c>
      <c r="H86" s="448" t="s">
        <v>395</v>
      </c>
      <c r="I86" s="1137" t="s">
        <v>336</v>
      </c>
      <c r="J86" s="1147" t="s">
        <v>320</v>
      </c>
      <c r="K86" s="1064"/>
      <c r="L86" s="1231">
        <v>18000</v>
      </c>
      <c r="M86" s="1234"/>
      <c r="N86" s="1234"/>
      <c r="O86" s="1234"/>
      <c r="P86" s="1234"/>
      <c r="Q86" s="1228">
        <f>SUM(L86:P89)</f>
        <v>18000</v>
      </c>
      <c r="R86" s="1231">
        <v>26550</v>
      </c>
      <c r="S86" s="1234"/>
      <c r="T86" s="1234"/>
      <c r="U86" s="1234"/>
      <c r="V86" s="1234"/>
      <c r="W86" s="1228">
        <f>SUM(R86:V89)</f>
        <v>26550</v>
      </c>
      <c r="X86" s="1231">
        <v>29300</v>
      </c>
      <c r="Y86" s="1234"/>
      <c r="Z86" s="1234"/>
      <c r="AA86" s="1234"/>
      <c r="AB86" s="1234"/>
      <c r="AC86" s="1234">
        <f>SUM(X86:AB89)</f>
        <v>29300</v>
      </c>
      <c r="AD86" s="1231">
        <v>29300</v>
      </c>
      <c r="AE86" s="1234"/>
      <c r="AF86" s="1234"/>
      <c r="AG86" s="1234"/>
      <c r="AH86" s="1234"/>
      <c r="AI86" s="784">
        <f>SUM(AD86:AH89)</f>
        <v>29300</v>
      </c>
      <c r="AJ86" s="759">
        <f t="shared" si="8"/>
        <v>103150</v>
      </c>
    </row>
    <row r="87" spans="1:36" ht="25.5">
      <c r="A87" s="716" t="s">
        <v>337</v>
      </c>
      <c r="B87" s="6"/>
      <c r="C87" s="6"/>
      <c r="D87" s="1138"/>
      <c r="E87" s="1139"/>
      <c r="F87" s="1238"/>
      <c r="G87" s="1142"/>
      <c r="H87" s="449"/>
      <c r="I87" s="1139"/>
      <c r="J87" s="1148"/>
      <c r="K87" s="1059"/>
      <c r="L87" s="1232"/>
      <c r="M87" s="1235"/>
      <c r="N87" s="1235"/>
      <c r="O87" s="1235"/>
      <c r="P87" s="1235"/>
      <c r="Q87" s="1229"/>
      <c r="R87" s="1232"/>
      <c r="S87" s="1235"/>
      <c r="T87" s="1235"/>
      <c r="U87" s="1235"/>
      <c r="V87" s="1235"/>
      <c r="W87" s="1229"/>
      <c r="X87" s="1232"/>
      <c r="Y87" s="1235"/>
      <c r="Z87" s="1235"/>
      <c r="AA87" s="1235"/>
      <c r="AB87" s="1235"/>
      <c r="AC87" s="1235"/>
      <c r="AD87" s="1232"/>
      <c r="AE87" s="1235"/>
      <c r="AF87" s="1235"/>
      <c r="AG87" s="1235"/>
      <c r="AH87" s="1235"/>
      <c r="AI87" s="759"/>
      <c r="AJ87" s="759">
        <f t="shared" si="8"/>
        <v>0</v>
      </c>
    </row>
    <row r="88" spans="1:36" ht="25.5">
      <c r="A88" s="4" t="s">
        <v>338</v>
      </c>
      <c r="B88" s="4"/>
      <c r="C88" s="4"/>
      <c r="D88" s="1137" t="s">
        <v>334</v>
      </c>
      <c r="E88" s="1139"/>
      <c r="F88" s="1238"/>
      <c r="G88" s="1142"/>
      <c r="H88" s="449"/>
      <c r="I88" s="1139"/>
      <c r="J88" s="1148"/>
      <c r="K88" s="1059"/>
      <c r="L88" s="1232"/>
      <c r="M88" s="1235"/>
      <c r="N88" s="1235"/>
      <c r="O88" s="1235"/>
      <c r="P88" s="1235"/>
      <c r="Q88" s="1229"/>
      <c r="R88" s="1232"/>
      <c r="S88" s="1235"/>
      <c r="T88" s="1235"/>
      <c r="U88" s="1235"/>
      <c r="V88" s="1235"/>
      <c r="W88" s="1229"/>
      <c r="X88" s="1232"/>
      <c r="Y88" s="1235"/>
      <c r="Z88" s="1235"/>
      <c r="AA88" s="1235"/>
      <c r="AB88" s="1235"/>
      <c r="AC88" s="1235"/>
      <c r="AD88" s="1232"/>
      <c r="AE88" s="1235"/>
      <c r="AF88" s="1235"/>
      <c r="AG88" s="1235"/>
      <c r="AH88" s="1235"/>
      <c r="AI88" s="759"/>
      <c r="AJ88" s="759">
        <f t="shared" si="8"/>
        <v>0</v>
      </c>
    </row>
    <row r="89" spans="1:36" ht="25.5">
      <c r="A89" s="740" t="s">
        <v>337</v>
      </c>
      <c r="B89" s="6"/>
      <c r="C89" s="6"/>
      <c r="D89" s="1150"/>
      <c r="E89" s="1140"/>
      <c r="F89" s="1239"/>
      <c r="G89" s="1143"/>
      <c r="H89" s="165"/>
      <c r="I89" s="1140"/>
      <c r="J89" s="1149"/>
      <c r="K89" s="1060"/>
      <c r="L89" s="1233"/>
      <c r="M89" s="1236"/>
      <c r="N89" s="1236"/>
      <c r="O89" s="1236"/>
      <c r="P89" s="1236"/>
      <c r="Q89" s="1230"/>
      <c r="R89" s="1233"/>
      <c r="S89" s="1236"/>
      <c r="T89" s="1236"/>
      <c r="U89" s="1236"/>
      <c r="V89" s="1236"/>
      <c r="W89" s="1230"/>
      <c r="X89" s="1233"/>
      <c r="Y89" s="1236"/>
      <c r="Z89" s="1236"/>
      <c r="AA89" s="1236"/>
      <c r="AB89" s="1236"/>
      <c r="AC89" s="1236"/>
      <c r="AD89" s="1233"/>
      <c r="AE89" s="1236"/>
      <c r="AF89" s="1236"/>
      <c r="AG89" s="1236"/>
      <c r="AH89" s="1236"/>
      <c r="AI89" s="759"/>
      <c r="AJ89" s="759">
        <f t="shared" si="8"/>
        <v>0</v>
      </c>
    </row>
    <row r="90" spans="1:36" ht="15.75">
      <c r="A90" s="14"/>
      <c r="B90" s="14"/>
      <c r="C90" s="14"/>
      <c r="D90" s="92"/>
      <c r="E90" s="92"/>
      <c r="F90" s="92"/>
      <c r="G90" s="92"/>
      <c r="H90" s="92"/>
      <c r="I90" s="92"/>
      <c r="J90" s="92"/>
      <c r="K90" s="4"/>
      <c r="L90" s="8"/>
      <c r="M90" s="8"/>
      <c r="N90" s="8"/>
      <c r="O90" s="8"/>
      <c r="P90" s="8"/>
      <c r="Q90" s="8"/>
      <c r="R90" s="8"/>
      <c r="S90" s="8"/>
      <c r="T90" s="8"/>
      <c r="U90" s="8"/>
      <c r="V90" s="8"/>
      <c r="W90" s="8"/>
      <c r="X90" s="8"/>
      <c r="Y90" s="8"/>
      <c r="Z90" s="8"/>
      <c r="AA90" s="8"/>
      <c r="AB90" s="8"/>
      <c r="AC90" s="8"/>
      <c r="AD90" s="8"/>
      <c r="AE90" s="8"/>
      <c r="AF90" s="8"/>
      <c r="AG90" s="8"/>
      <c r="AH90" s="8"/>
      <c r="AI90" s="759"/>
      <c r="AJ90" s="759">
        <f t="shared" si="8"/>
        <v>0</v>
      </c>
    </row>
    <row r="91" spans="1:36" ht="15.75">
      <c r="A91" s="4"/>
      <c r="B91" s="4"/>
      <c r="C91" s="4"/>
      <c r="D91" s="92"/>
      <c r="E91" s="92"/>
      <c r="F91" s="92"/>
      <c r="G91" s="92"/>
      <c r="H91" s="92"/>
      <c r="I91" s="92"/>
      <c r="J91" s="92"/>
      <c r="K91" s="4"/>
      <c r="L91" s="8"/>
      <c r="M91" s="8"/>
      <c r="N91" s="8"/>
      <c r="O91" s="8"/>
      <c r="P91" s="8"/>
      <c r="Q91" s="8"/>
      <c r="R91" s="8"/>
      <c r="S91" s="8"/>
      <c r="T91" s="8"/>
      <c r="U91" s="8"/>
      <c r="V91" s="8"/>
      <c r="W91" s="8"/>
      <c r="X91" s="8"/>
      <c r="Y91" s="8"/>
      <c r="Z91" s="8"/>
      <c r="AA91" s="8"/>
      <c r="AB91" s="8"/>
      <c r="AC91" s="8"/>
      <c r="AD91" s="8"/>
      <c r="AE91" s="8"/>
      <c r="AF91" s="8"/>
      <c r="AG91" s="8"/>
      <c r="AH91" s="8"/>
      <c r="AI91" s="759"/>
      <c r="AJ91" s="759">
        <f t="shared" si="8"/>
        <v>0</v>
      </c>
    </row>
    <row r="92" spans="1:36" ht="15.75">
      <c r="A92" s="26" t="s">
        <v>276</v>
      </c>
      <c r="B92" s="26"/>
      <c r="C92" s="26"/>
      <c r="D92" s="91"/>
      <c r="E92" s="91"/>
      <c r="F92" s="91"/>
      <c r="G92" s="92"/>
      <c r="H92" s="92"/>
      <c r="I92" s="92"/>
      <c r="J92" s="92"/>
      <c r="K92" s="4"/>
      <c r="L92" s="366">
        <v>177000</v>
      </c>
      <c r="M92" s="101"/>
      <c r="N92" s="101"/>
      <c r="O92" s="101"/>
      <c r="P92" s="101"/>
      <c r="Q92" s="404"/>
      <c r="R92" s="366">
        <v>217550</v>
      </c>
      <c r="S92" s="101"/>
      <c r="T92" s="101"/>
      <c r="U92" s="101"/>
      <c r="V92" s="101"/>
      <c r="W92" s="102"/>
      <c r="X92" s="366">
        <v>276600</v>
      </c>
      <c r="Y92" s="102"/>
      <c r="Z92" s="102"/>
      <c r="AA92" s="102"/>
      <c r="AB92" s="102"/>
      <c r="AC92" s="102"/>
      <c r="AD92" s="366">
        <v>278220</v>
      </c>
      <c r="AE92" s="101"/>
      <c r="AF92" s="101"/>
      <c r="AG92" s="101"/>
      <c r="AH92" s="101"/>
      <c r="AI92" s="367">
        <v>278202</v>
      </c>
      <c r="AJ92" s="759">
        <f t="shared" si="8"/>
        <v>278202</v>
      </c>
    </row>
    <row r="93" spans="1:36" ht="15.75">
      <c r="A93" s="103"/>
      <c r="B93" s="103"/>
      <c r="C93" s="103"/>
      <c r="D93" s="137"/>
      <c r="E93" s="137"/>
      <c r="F93" s="137"/>
      <c r="G93" s="137"/>
      <c r="H93" s="137"/>
      <c r="I93" s="137"/>
      <c r="J93" s="137"/>
      <c r="K93" s="137"/>
      <c r="L93" s="405">
        <f>SUM(L74:L91)</f>
        <v>177000</v>
      </c>
      <c r="M93" s="405">
        <f t="shared" ref="M93:AH93" si="9">SUM(M74:M91)</f>
        <v>0</v>
      </c>
      <c r="N93" s="405">
        <f t="shared" si="9"/>
        <v>0</v>
      </c>
      <c r="O93" s="405">
        <f t="shared" si="9"/>
        <v>0</v>
      </c>
      <c r="P93" s="405">
        <f t="shared" si="9"/>
        <v>0</v>
      </c>
      <c r="Q93" s="405">
        <f>SUM(Q74:Q91)</f>
        <v>177000</v>
      </c>
      <c r="R93" s="405">
        <f t="shared" si="9"/>
        <v>217550</v>
      </c>
      <c r="S93" s="405">
        <f t="shared" si="9"/>
        <v>0</v>
      </c>
      <c r="T93" s="405">
        <f t="shared" si="9"/>
        <v>0</v>
      </c>
      <c r="U93" s="405">
        <f t="shared" si="9"/>
        <v>0</v>
      </c>
      <c r="V93" s="405">
        <f t="shared" si="9"/>
        <v>0</v>
      </c>
      <c r="W93" s="405">
        <f>SUM(W74:W91)</f>
        <v>217550</v>
      </c>
      <c r="X93" s="405">
        <f t="shared" si="9"/>
        <v>276600</v>
      </c>
      <c r="Y93" s="405">
        <f t="shared" si="9"/>
        <v>0</v>
      </c>
      <c r="Z93" s="405">
        <f t="shared" si="9"/>
        <v>0</v>
      </c>
      <c r="AA93" s="405">
        <f t="shared" si="9"/>
        <v>0</v>
      </c>
      <c r="AB93" s="405">
        <f t="shared" si="9"/>
        <v>0</v>
      </c>
      <c r="AC93" s="405">
        <f t="shared" si="9"/>
        <v>276600</v>
      </c>
      <c r="AD93" s="405">
        <f>SUM(AD74:AD91)</f>
        <v>178320</v>
      </c>
      <c r="AE93" s="405">
        <f t="shared" si="9"/>
        <v>0</v>
      </c>
      <c r="AF93" s="405">
        <f t="shared" si="9"/>
        <v>0</v>
      </c>
      <c r="AG93" s="405">
        <f t="shared" si="9"/>
        <v>0</v>
      </c>
      <c r="AH93" s="405">
        <f t="shared" si="9"/>
        <v>0</v>
      </c>
      <c r="AI93" s="405">
        <f>SUM(AI74:AI91)</f>
        <v>178320</v>
      </c>
      <c r="AJ93" s="767">
        <f>SUM(AI93+AC93+W93+Q93)</f>
        <v>849470</v>
      </c>
    </row>
    <row r="94" spans="1:36" ht="15.75">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318"/>
      <c r="AJ94" s="768"/>
    </row>
    <row r="95" spans="1:36" s="83" customFormat="1" ht="15.75">
      <c r="A95" s="138" t="s">
        <v>339</v>
      </c>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J95" s="769"/>
    </row>
    <row r="96" spans="1:36" s="83" customFormat="1" ht="15.75">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J96" s="769"/>
    </row>
    <row r="97" spans="1:36" s="83" customFormat="1" ht="31.5">
      <c r="A97" s="479"/>
      <c r="B97" s="468"/>
      <c r="C97" s="468"/>
      <c r="D97" s="1100" t="s">
        <v>0</v>
      </c>
      <c r="E97" s="1100" t="s">
        <v>340</v>
      </c>
      <c r="F97" s="1107" t="s">
        <v>5</v>
      </c>
      <c r="G97" s="1107"/>
      <c r="H97" s="1100" t="s">
        <v>22</v>
      </c>
      <c r="I97" s="1100" t="s">
        <v>211</v>
      </c>
      <c r="J97" s="1100" t="s">
        <v>212</v>
      </c>
      <c r="K97" s="1100" t="s">
        <v>213</v>
      </c>
      <c r="L97" s="1072" t="s">
        <v>214</v>
      </c>
      <c r="M97" s="1072"/>
      <c r="N97" s="1072"/>
      <c r="O97" s="1072"/>
      <c r="P97" s="1072"/>
      <c r="Q97" s="1072"/>
      <c r="R97" s="1072"/>
      <c r="S97" s="1072"/>
      <c r="T97" s="1072"/>
      <c r="U97" s="1072"/>
      <c r="V97" s="1072"/>
      <c r="W97" s="1072"/>
      <c r="X97" s="1072"/>
      <c r="Y97" s="1072"/>
      <c r="Z97" s="1072"/>
      <c r="AA97" s="1072"/>
      <c r="AB97" s="1072"/>
      <c r="AC97" s="1072"/>
      <c r="AD97" s="1072"/>
      <c r="AE97" s="1072"/>
      <c r="AF97" s="1072"/>
      <c r="AG97" s="1072"/>
      <c r="AH97" s="1072"/>
      <c r="AI97" s="315" t="s">
        <v>688</v>
      </c>
      <c r="AJ97" s="765" t="s">
        <v>689</v>
      </c>
    </row>
    <row r="98" spans="1:36" s="83" customFormat="1" ht="38.25">
      <c r="A98" s="1103" t="s">
        <v>341</v>
      </c>
      <c r="B98" s="468" t="s">
        <v>215</v>
      </c>
      <c r="C98" s="468" t="s">
        <v>279</v>
      </c>
      <c r="D98" s="1100"/>
      <c r="E98" s="1106"/>
      <c r="F98" s="1105" t="s">
        <v>217</v>
      </c>
      <c r="G98" s="1105" t="s">
        <v>6</v>
      </c>
      <c r="H98" s="1100"/>
      <c r="I98" s="1100"/>
      <c r="J98" s="1100"/>
      <c r="K98" s="1100"/>
      <c r="L98" s="1071" t="s">
        <v>12</v>
      </c>
      <c r="M98" s="1072"/>
      <c r="N98" s="1072"/>
      <c r="O98" s="1072"/>
      <c r="P98" s="1072"/>
      <c r="Q98" s="1072"/>
      <c r="R98" s="1071" t="s">
        <v>13</v>
      </c>
      <c r="S98" s="1072"/>
      <c r="T98" s="1072"/>
      <c r="U98" s="1072"/>
      <c r="V98" s="1072"/>
      <c r="W98" s="1072"/>
      <c r="X98" s="1071" t="s">
        <v>14</v>
      </c>
      <c r="Y98" s="1072"/>
      <c r="Z98" s="1072"/>
      <c r="AA98" s="1072"/>
      <c r="AB98" s="1072"/>
      <c r="AC98" s="1072"/>
      <c r="AD98" s="1071" t="s">
        <v>15</v>
      </c>
      <c r="AE98" s="1072"/>
      <c r="AF98" s="1072"/>
      <c r="AG98" s="1072"/>
      <c r="AH98" s="1072"/>
      <c r="AI98" s="313"/>
      <c r="AJ98" s="766"/>
    </row>
    <row r="99" spans="1:36" s="83" customFormat="1" ht="15.75">
      <c r="A99" s="1104"/>
      <c r="B99" s="468"/>
      <c r="C99" s="468"/>
      <c r="D99" s="1100"/>
      <c r="E99" s="1106"/>
      <c r="F99" s="1105"/>
      <c r="G99" s="1105"/>
      <c r="H99" s="1100"/>
      <c r="I99" s="1100"/>
      <c r="J99" s="1100"/>
      <c r="K99" s="1100"/>
      <c r="L99" s="467" t="s">
        <v>1</v>
      </c>
      <c r="M99" s="467" t="s">
        <v>9</v>
      </c>
      <c r="N99" s="467" t="s">
        <v>218</v>
      </c>
      <c r="O99" s="140" t="s">
        <v>17</v>
      </c>
      <c r="P99" s="140" t="s">
        <v>19</v>
      </c>
      <c r="Q99" s="140" t="s">
        <v>4</v>
      </c>
      <c r="R99" s="467" t="s">
        <v>1</v>
      </c>
      <c r="S99" s="467" t="s">
        <v>2</v>
      </c>
      <c r="T99" s="467" t="s">
        <v>219</v>
      </c>
      <c r="U99" s="467" t="s">
        <v>17</v>
      </c>
      <c r="V99" s="467" t="s">
        <v>19</v>
      </c>
      <c r="W99" s="467" t="s">
        <v>4</v>
      </c>
      <c r="X99" s="467" t="s">
        <v>1</v>
      </c>
      <c r="Y99" s="467" t="s">
        <v>9</v>
      </c>
      <c r="Z99" s="467" t="s">
        <v>218</v>
      </c>
      <c r="AA99" s="140" t="s">
        <v>17</v>
      </c>
      <c r="AB99" s="140" t="s">
        <v>19</v>
      </c>
      <c r="AC99" s="140" t="s">
        <v>4</v>
      </c>
      <c r="AD99" s="467" t="s">
        <v>1</v>
      </c>
      <c r="AE99" s="467" t="s">
        <v>9</v>
      </c>
      <c r="AF99" s="467" t="s">
        <v>219</v>
      </c>
      <c r="AG99" s="140" t="s">
        <v>17</v>
      </c>
      <c r="AH99" s="140" t="s">
        <v>19</v>
      </c>
      <c r="AI99" s="313"/>
      <c r="AJ99" s="759"/>
    </row>
    <row r="100" spans="1:36" s="83" customFormat="1" ht="15.75">
      <c r="A100" s="141" t="s">
        <v>33</v>
      </c>
      <c r="B100" s="141" t="s">
        <v>34</v>
      </c>
      <c r="C100" s="141" t="s">
        <v>45</v>
      </c>
      <c r="D100" s="141" t="s">
        <v>35</v>
      </c>
      <c r="E100" s="141" t="s">
        <v>36</v>
      </c>
      <c r="F100" s="141" t="s">
        <v>37</v>
      </c>
      <c r="G100" s="141" t="s">
        <v>38</v>
      </c>
      <c r="H100" s="142" t="s">
        <v>39</v>
      </c>
      <c r="I100" s="141" t="s">
        <v>40</v>
      </c>
      <c r="J100" s="143" t="s">
        <v>41</v>
      </c>
      <c r="K100" s="141"/>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759"/>
      <c r="AJ100" s="759">
        <f>+Q100+W100+AC100+AI100</f>
        <v>0</v>
      </c>
    </row>
    <row r="101" spans="1:36" s="83" customFormat="1" ht="15.75">
      <c r="A101" s="1101" t="s">
        <v>342</v>
      </c>
      <c r="B101" s="1102"/>
      <c r="C101" s="1102"/>
      <c r="D101" s="1102"/>
      <c r="E101" s="1102"/>
      <c r="F101" s="144"/>
      <c r="G101" s="145"/>
      <c r="H101" s="146"/>
      <c r="I101" s="145"/>
      <c r="J101" s="147"/>
      <c r="K101" s="148"/>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759"/>
      <c r="AJ101" s="759">
        <f t="shared" ref="AJ101:AJ131" si="10">+Q101+W101+AC101+AI101</f>
        <v>0</v>
      </c>
    </row>
    <row r="102" spans="1:36" s="83" customFormat="1" ht="15.75">
      <c r="A102" s="1075" t="s">
        <v>343</v>
      </c>
      <c r="B102" s="1076"/>
      <c r="C102" s="1076"/>
      <c r="D102" s="1076"/>
      <c r="E102" s="1076"/>
      <c r="F102" s="148"/>
      <c r="G102" s="149"/>
      <c r="H102" s="150"/>
      <c r="I102" s="149"/>
      <c r="J102" s="151"/>
      <c r="K102" s="148"/>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759"/>
      <c r="AJ102" s="759">
        <f t="shared" si="10"/>
        <v>0</v>
      </c>
    </row>
    <row r="103" spans="1:36" s="83" customFormat="1" ht="15.75">
      <c r="A103" s="1075" t="s">
        <v>344</v>
      </c>
      <c r="B103" s="1076"/>
      <c r="C103" s="1076"/>
      <c r="D103" s="1076"/>
      <c r="E103" s="1076"/>
      <c r="F103" s="1076"/>
      <c r="G103" s="1076"/>
      <c r="H103" s="1076"/>
      <c r="I103" s="1076"/>
      <c r="J103" s="1076"/>
      <c r="K103" s="148"/>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759"/>
      <c r="AJ103" s="759">
        <f t="shared" si="10"/>
        <v>0</v>
      </c>
    </row>
    <row r="104" spans="1:36" s="83" customFormat="1" ht="15.75">
      <c r="A104" s="1075" t="s">
        <v>345</v>
      </c>
      <c r="B104" s="1076"/>
      <c r="C104" s="1076"/>
      <c r="D104" s="1076"/>
      <c r="E104" s="148"/>
      <c r="F104" s="148"/>
      <c r="G104" s="149"/>
      <c r="H104" s="150"/>
      <c r="I104" s="149"/>
      <c r="J104" s="151"/>
      <c r="K104" s="148"/>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759"/>
      <c r="AJ104" s="759">
        <f t="shared" si="10"/>
        <v>0</v>
      </c>
    </row>
    <row r="105" spans="1:36" s="83" customFormat="1" ht="15.75">
      <c r="A105" s="1075" t="s">
        <v>346</v>
      </c>
      <c r="B105" s="1076"/>
      <c r="C105" s="1076"/>
      <c r="D105" s="1077"/>
      <c r="E105" s="148"/>
      <c r="F105" s="148"/>
      <c r="G105" s="149"/>
      <c r="H105" s="150"/>
      <c r="I105" s="149"/>
      <c r="J105" s="151"/>
      <c r="K105" s="148"/>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759"/>
      <c r="AJ105" s="759">
        <f t="shared" si="10"/>
        <v>0</v>
      </c>
    </row>
    <row r="106" spans="1:36" s="83" customFormat="1" ht="15.75">
      <c r="A106" s="9" t="s">
        <v>352</v>
      </c>
      <c r="B106" s="149"/>
      <c r="C106" s="148"/>
      <c r="D106" s="149"/>
      <c r="E106" s="148"/>
      <c r="F106" s="148"/>
      <c r="G106" s="148"/>
      <c r="H106" s="148"/>
      <c r="I106" s="149"/>
      <c r="J106" s="148"/>
      <c r="K106" s="148"/>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759"/>
      <c r="AJ106" s="759">
        <f t="shared" si="10"/>
        <v>0</v>
      </c>
    </row>
    <row r="107" spans="1:36" s="83" customFormat="1" ht="178.5">
      <c r="A107" s="741" t="s">
        <v>389</v>
      </c>
      <c r="B107" s="153"/>
      <c r="C107" s="154"/>
      <c r="D107" s="153" t="s">
        <v>347</v>
      </c>
      <c r="E107" s="154" t="s">
        <v>353</v>
      </c>
      <c r="F107" s="748" t="s">
        <v>718</v>
      </c>
      <c r="G107" s="155" t="s">
        <v>706</v>
      </c>
      <c r="H107" s="155" t="s">
        <v>391</v>
      </c>
      <c r="I107" s="153" t="s">
        <v>349</v>
      </c>
      <c r="J107" s="156" t="s">
        <v>355</v>
      </c>
      <c r="K107" s="155"/>
      <c r="L107" s="797">
        <v>602817</v>
      </c>
      <c r="M107" s="797"/>
      <c r="N107" s="797"/>
      <c r="O107" s="798"/>
      <c r="P107" s="797"/>
      <c r="Q107" s="797">
        <v>602817</v>
      </c>
      <c r="R107" s="797"/>
      <c r="S107" s="797"/>
      <c r="T107" s="797"/>
      <c r="U107" s="797"/>
      <c r="V107" s="797"/>
      <c r="W107" s="797"/>
      <c r="X107" s="150"/>
      <c r="Y107" s="150"/>
      <c r="Z107" s="150"/>
      <c r="AA107" s="150"/>
      <c r="AB107" s="150"/>
      <c r="AC107" s="150"/>
      <c r="AD107" s="150"/>
      <c r="AE107" s="150"/>
      <c r="AF107" s="150"/>
      <c r="AG107" s="150"/>
      <c r="AH107" s="150"/>
      <c r="AI107" s="759"/>
      <c r="AJ107" s="759">
        <f t="shared" si="10"/>
        <v>602817</v>
      </c>
    </row>
    <row r="108" spans="1:36" s="83" customFormat="1" ht="267.75">
      <c r="A108" s="742" t="s">
        <v>390</v>
      </c>
      <c r="B108" s="149"/>
      <c r="C108" s="151"/>
      <c r="D108" s="149" t="s">
        <v>347</v>
      </c>
      <c r="E108" s="151" t="s">
        <v>356</v>
      </c>
      <c r="F108" s="743" t="s">
        <v>80</v>
      </c>
      <c r="G108" s="148" t="s">
        <v>80</v>
      </c>
      <c r="H108" s="148" t="s">
        <v>391</v>
      </c>
      <c r="I108" s="149" t="s">
        <v>357</v>
      </c>
      <c r="J108" s="151" t="s">
        <v>358</v>
      </c>
      <c r="K108" s="148"/>
      <c r="L108" s="150">
        <v>86000</v>
      </c>
      <c r="M108" s="150"/>
      <c r="N108" s="150"/>
      <c r="O108" s="150"/>
      <c r="P108" s="150"/>
      <c r="Q108" s="150">
        <v>86000</v>
      </c>
      <c r="R108" s="150"/>
      <c r="S108" s="150"/>
      <c r="T108" s="150"/>
      <c r="U108" s="150"/>
      <c r="V108" s="150"/>
      <c r="W108" s="150"/>
      <c r="X108" s="150"/>
      <c r="Y108" s="150"/>
      <c r="Z108" s="150"/>
      <c r="AA108" s="150"/>
      <c r="AB108" s="150"/>
      <c r="AC108" s="150"/>
      <c r="AD108" s="150"/>
      <c r="AE108" s="150"/>
      <c r="AF108" s="150"/>
      <c r="AG108" s="150"/>
      <c r="AH108" s="150"/>
      <c r="AI108" s="759"/>
      <c r="AJ108" s="759">
        <f t="shared" si="10"/>
        <v>86000</v>
      </c>
    </row>
    <row r="109" spans="1:36" s="83" customFormat="1" ht="242.25">
      <c r="A109" s="716" t="s">
        <v>396</v>
      </c>
      <c r="B109" s="149"/>
      <c r="C109" s="148"/>
      <c r="D109" s="149" t="s">
        <v>347</v>
      </c>
      <c r="E109" s="148" t="s">
        <v>359</v>
      </c>
      <c r="F109" s="743" t="s">
        <v>80</v>
      </c>
      <c r="G109" s="687" t="s">
        <v>80</v>
      </c>
      <c r="H109" s="148" t="s">
        <v>354</v>
      </c>
      <c r="I109" s="149" t="s">
        <v>351</v>
      </c>
      <c r="J109" s="151" t="s">
        <v>358</v>
      </c>
      <c r="K109" s="148"/>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759"/>
      <c r="AJ109" s="759">
        <f t="shared" si="10"/>
        <v>0</v>
      </c>
    </row>
    <row r="110" spans="1:36" s="83" customFormat="1" ht="15.75">
      <c r="A110" s="1075" t="s">
        <v>360</v>
      </c>
      <c r="B110" s="1076"/>
      <c r="C110" s="1076"/>
      <c r="D110" s="1076"/>
      <c r="E110" s="1076"/>
      <c r="F110" s="148"/>
      <c r="G110" s="149"/>
      <c r="H110" s="150"/>
      <c r="I110" s="149"/>
      <c r="J110" s="151"/>
      <c r="K110" s="148"/>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759"/>
      <c r="AJ110" s="759">
        <f t="shared" si="10"/>
        <v>0</v>
      </c>
    </row>
    <row r="111" spans="1:36" s="83" customFormat="1" ht="15.75">
      <c r="A111" s="1075" t="s">
        <v>361</v>
      </c>
      <c r="B111" s="1076"/>
      <c r="C111" s="1076"/>
      <c r="D111" s="1076"/>
      <c r="E111" s="1076"/>
      <c r="F111" s="1076"/>
      <c r="G111" s="1076"/>
      <c r="H111" s="1076"/>
      <c r="I111" s="1076"/>
      <c r="J111" s="1076"/>
      <c r="K111" s="148"/>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759"/>
      <c r="AJ111" s="759">
        <f t="shared" si="10"/>
        <v>0</v>
      </c>
    </row>
    <row r="112" spans="1:36" s="83" customFormat="1" ht="15.75">
      <c r="A112" s="1075" t="s">
        <v>345</v>
      </c>
      <c r="B112" s="1076"/>
      <c r="C112" s="1076"/>
      <c r="D112" s="1076"/>
      <c r="E112" s="1076"/>
      <c r="F112" s="1076"/>
      <c r="G112" s="1076"/>
      <c r="H112" s="1076"/>
      <c r="I112" s="1076"/>
      <c r="J112" s="1076"/>
      <c r="K112" s="148"/>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759"/>
      <c r="AJ112" s="759">
        <f t="shared" si="10"/>
        <v>0</v>
      </c>
    </row>
    <row r="113" spans="1:36" s="83" customFormat="1" ht="15.75">
      <c r="A113" s="1136" t="s">
        <v>362</v>
      </c>
      <c r="B113" s="1136"/>
      <c r="C113" s="1136"/>
      <c r="D113" s="1136"/>
      <c r="E113" s="1136"/>
      <c r="F113" s="1136"/>
      <c r="G113" s="1136"/>
      <c r="H113" s="1136"/>
      <c r="I113" s="1136"/>
      <c r="J113" s="1075"/>
      <c r="K113" s="148"/>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759"/>
      <c r="AJ113" s="759">
        <f t="shared" si="10"/>
        <v>0</v>
      </c>
    </row>
    <row r="114" spans="1:36" s="83" customFormat="1" ht="306">
      <c r="A114" s="742" t="s">
        <v>363</v>
      </c>
      <c r="B114" s="149"/>
      <c r="C114" s="148"/>
      <c r="D114" s="149" t="s">
        <v>347</v>
      </c>
      <c r="E114" s="148" t="s">
        <v>364</v>
      </c>
      <c r="F114" s="723" t="s">
        <v>718</v>
      </c>
      <c r="G114" s="148" t="s">
        <v>706</v>
      </c>
      <c r="H114" s="148" t="s">
        <v>391</v>
      </c>
      <c r="I114" s="149" t="s">
        <v>348</v>
      </c>
      <c r="J114" s="151" t="s">
        <v>365</v>
      </c>
      <c r="K114" s="148"/>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759"/>
      <c r="AJ114" s="759">
        <f t="shared" si="10"/>
        <v>0</v>
      </c>
    </row>
    <row r="115" spans="1:36" s="83" customFormat="1" ht="63.75">
      <c r="A115" s="742" t="s">
        <v>366</v>
      </c>
      <c r="B115" s="149"/>
      <c r="C115" s="148"/>
      <c r="D115" s="149" t="s">
        <v>347</v>
      </c>
      <c r="E115" s="148"/>
      <c r="F115" s="723" t="s">
        <v>718</v>
      </c>
      <c r="G115" s="148" t="s">
        <v>706</v>
      </c>
      <c r="H115" s="148" t="s">
        <v>391</v>
      </c>
      <c r="I115" s="149" t="s">
        <v>348</v>
      </c>
      <c r="J115" s="151" t="s">
        <v>365</v>
      </c>
      <c r="K115" s="148"/>
      <c r="L115" s="150">
        <v>946000</v>
      </c>
      <c r="M115" s="150"/>
      <c r="N115" s="150"/>
      <c r="O115" s="150"/>
      <c r="P115" s="150"/>
      <c r="Q115" s="150">
        <v>946000</v>
      </c>
      <c r="R115" s="150"/>
      <c r="S115" s="150"/>
      <c r="T115" s="150"/>
      <c r="U115" s="150"/>
      <c r="V115" s="150"/>
      <c r="W115" s="150"/>
      <c r="X115" s="150"/>
      <c r="Y115" s="150"/>
      <c r="Z115" s="150"/>
      <c r="AA115" s="150"/>
      <c r="AB115" s="150"/>
      <c r="AC115" s="150"/>
      <c r="AD115" s="150"/>
      <c r="AE115" s="150"/>
      <c r="AF115" s="150"/>
      <c r="AG115" s="150"/>
      <c r="AH115" s="150"/>
      <c r="AI115" s="759"/>
      <c r="AJ115" s="759">
        <f t="shared" si="10"/>
        <v>946000</v>
      </c>
    </row>
    <row r="116" spans="1:36" s="83" customFormat="1" ht="216.75">
      <c r="A116" s="716" t="s">
        <v>367</v>
      </c>
      <c r="B116" s="149"/>
      <c r="C116" s="148"/>
      <c r="D116" s="149" t="s">
        <v>347</v>
      </c>
      <c r="E116" s="148" t="s">
        <v>368</v>
      </c>
      <c r="F116" s="723" t="s">
        <v>718</v>
      </c>
      <c r="G116" s="148" t="s">
        <v>706</v>
      </c>
      <c r="H116" s="148" t="s">
        <v>391</v>
      </c>
      <c r="I116" s="149" t="s">
        <v>348</v>
      </c>
      <c r="J116" s="151" t="s">
        <v>365</v>
      </c>
      <c r="K116" s="148"/>
      <c r="L116" s="150">
        <v>499402</v>
      </c>
      <c r="M116" s="150"/>
      <c r="N116" s="150"/>
      <c r="O116" s="798"/>
      <c r="P116" s="150"/>
      <c r="Q116" s="150">
        <v>499402</v>
      </c>
      <c r="R116" s="150">
        <v>644484</v>
      </c>
      <c r="S116" s="150"/>
      <c r="T116" s="150"/>
      <c r="U116" s="798"/>
      <c r="V116" s="150"/>
      <c r="W116" s="150">
        <v>644484</v>
      </c>
      <c r="X116" s="150">
        <v>789566</v>
      </c>
      <c r="Y116" s="150"/>
      <c r="Z116" s="150"/>
      <c r="AA116" s="150"/>
      <c r="AB116" s="150"/>
      <c r="AC116" s="150">
        <v>789566</v>
      </c>
      <c r="AD116" s="150">
        <v>934648</v>
      </c>
      <c r="AE116" s="150"/>
      <c r="AF116" s="150"/>
      <c r="AG116" s="798"/>
      <c r="AH116" s="150"/>
      <c r="AI116" s="784">
        <f>SUM(AD116:AH116)</f>
        <v>934648</v>
      </c>
      <c r="AJ116" s="759">
        <f t="shared" si="10"/>
        <v>2868100</v>
      </c>
    </row>
    <row r="117" spans="1:36" s="83" customFormat="1" ht="63.75">
      <c r="A117" s="716" t="s">
        <v>369</v>
      </c>
      <c r="B117" s="149"/>
      <c r="C117" s="148"/>
      <c r="D117" s="149" t="s">
        <v>347</v>
      </c>
      <c r="E117" s="148"/>
      <c r="F117" s="687" t="s">
        <v>718</v>
      </c>
      <c r="G117" s="148" t="s">
        <v>706</v>
      </c>
      <c r="H117" s="148" t="s">
        <v>391</v>
      </c>
      <c r="I117" s="149" t="s">
        <v>348</v>
      </c>
      <c r="J117" s="151" t="s">
        <v>358</v>
      </c>
      <c r="K117" s="148"/>
      <c r="L117" s="150">
        <v>2707495</v>
      </c>
      <c r="M117" s="150"/>
      <c r="N117" s="150"/>
      <c r="O117" s="150"/>
      <c r="P117" s="150"/>
      <c r="Q117" s="150">
        <v>2707495</v>
      </c>
      <c r="R117" s="150"/>
      <c r="S117" s="150"/>
      <c r="T117" s="150"/>
      <c r="U117" s="150"/>
      <c r="V117" s="150"/>
      <c r="W117" s="150"/>
      <c r="X117" s="150"/>
      <c r="Y117" s="150"/>
      <c r="Z117" s="150"/>
      <c r="AA117" s="150"/>
      <c r="AB117" s="150"/>
      <c r="AC117" s="150"/>
      <c r="AD117" s="150"/>
      <c r="AE117" s="150"/>
      <c r="AF117" s="150"/>
      <c r="AG117" s="150"/>
      <c r="AH117" s="150"/>
      <c r="AI117" s="784">
        <f t="shared" ref="AI117:AI130" si="11">SUM(AD117:AH117)</f>
        <v>0</v>
      </c>
      <c r="AJ117" s="759">
        <f t="shared" si="10"/>
        <v>2707495</v>
      </c>
    </row>
    <row r="118" spans="1:36" s="83" customFormat="1" ht="293.25">
      <c r="A118" s="716" t="s">
        <v>370</v>
      </c>
      <c r="B118" s="149"/>
      <c r="C118" s="148"/>
      <c r="D118" s="149" t="s">
        <v>347</v>
      </c>
      <c r="E118" s="148" t="s">
        <v>371</v>
      </c>
      <c r="F118" s="752" t="s">
        <v>372</v>
      </c>
      <c r="G118" s="148" t="s">
        <v>707</v>
      </c>
      <c r="H118" s="148" t="s">
        <v>391</v>
      </c>
      <c r="I118" s="149" t="s">
        <v>348</v>
      </c>
      <c r="J118" s="151" t="s">
        <v>358</v>
      </c>
      <c r="K118" s="148"/>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784">
        <f t="shared" si="11"/>
        <v>0</v>
      </c>
      <c r="AJ118" s="759">
        <f t="shared" si="10"/>
        <v>0</v>
      </c>
    </row>
    <row r="119" spans="1:36" s="83" customFormat="1" ht="409.5">
      <c r="A119" s="716" t="s">
        <v>374</v>
      </c>
      <c r="B119" s="149"/>
      <c r="C119" s="148"/>
      <c r="D119" s="149" t="s">
        <v>347</v>
      </c>
      <c r="E119" s="148" t="s">
        <v>375</v>
      </c>
      <c r="F119" s="743" t="s">
        <v>372</v>
      </c>
      <c r="G119" s="148" t="s">
        <v>372</v>
      </c>
      <c r="H119" s="148" t="s">
        <v>391</v>
      </c>
      <c r="I119" s="149" t="s">
        <v>348</v>
      </c>
      <c r="J119" s="151" t="s">
        <v>358</v>
      </c>
      <c r="K119" s="148"/>
      <c r="L119" s="150">
        <v>4300</v>
      </c>
      <c r="M119" s="150"/>
      <c r="N119" s="150"/>
      <c r="O119" s="150"/>
      <c r="P119" s="150"/>
      <c r="Q119" s="150">
        <v>4300</v>
      </c>
      <c r="R119" s="150"/>
      <c r="S119" s="150"/>
      <c r="T119" s="150"/>
      <c r="U119" s="150"/>
      <c r="V119" s="150"/>
      <c r="W119" s="150"/>
      <c r="X119" s="150"/>
      <c r="Y119" s="150"/>
      <c r="Z119" s="150"/>
      <c r="AA119" s="150"/>
      <c r="AB119" s="150"/>
      <c r="AC119" s="150"/>
      <c r="AD119" s="150"/>
      <c r="AE119" s="150"/>
      <c r="AF119" s="150"/>
      <c r="AG119" s="150"/>
      <c r="AH119" s="150"/>
      <c r="AI119" s="784">
        <f t="shared" si="11"/>
        <v>0</v>
      </c>
      <c r="AJ119" s="759">
        <f t="shared" si="10"/>
        <v>4300</v>
      </c>
    </row>
    <row r="120" spans="1:36" s="83" customFormat="1" ht="15.75">
      <c r="A120" s="1075" t="s">
        <v>376</v>
      </c>
      <c r="B120" s="1076"/>
      <c r="C120" s="1076"/>
      <c r="D120" s="1076"/>
      <c r="E120" s="1076"/>
      <c r="F120" s="1076"/>
      <c r="G120" s="1076"/>
      <c r="H120" s="1076"/>
      <c r="I120" s="1076"/>
      <c r="J120" s="1076"/>
      <c r="K120" s="148"/>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799"/>
      <c r="AI120" s="784">
        <f t="shared" si="11"/>
        <v>0</v>
      </c>
      <c r="AJ120" s="759">
        <f t="shared" si="10"/>
        <v>0</v>
      </c>
    </row>
    <row r="121" spans="1:36" s="83" customFormat="1" ht="15.75">
      <c r="A121" s="1075" t="s">
        <v>345</v>
      </c>
      <c r="B121" s="1076"/>
      <c r="C121" s="1076"/>
      <c r="D121" s="1076"/>
      <c r="E121" s="148"/>
      <c r="F121" s="148"/>
      <c r="G121" s="149"/>
      <c r="H121" s="150"/>
      <c r="I121" s="149"/>
      <c r="J121" s="151"/>
      <c r="K121" s="148"/>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784">
        <f t="shared" si="11"/>
        <v>0</v>
      </c>
      <c r="AJ121" s="759">
        <f t="shared" si="10"/>
        <v>0</v>
      </c>
    </row>
    <row r="122" spans="1:36" s="83" customFormat="1" ht="15.75">
      <c r="A122" s="1075" t="s">
        <v>362</v>
      </c>
      <c r="B122" s="1076"/>
      <c r="C122" s="1076"/>
      <c r="D122" s="1076"/>
      <c r="E122" s="1076"/>
      <c r="F122" s="1076"/>
      <c r="G122" s="1076"/>
      <c r="H122" s="1076"/>
      <c r="I122" s="1076"/>
      <c r="J122" s="1076"/>
      <c r="K122" s="148"/>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784">
        <f t="shared" si="11"/>
        <v>0</v>
      </c>
      <c r="AJ122" s="759">
        <f t="shared" si="10"/>
        <v>0</v>
      </c>
    </row>
    <row r="123" spans="1:36" s="83" customFormat="1" ht="267.75">
      <c r="A123" s="742" t="s">
        <v>377</v>
      </c>
      <c r="B123" s="149"/>
      <c r="C123" s="148"/>
      <c r="D123" s="149" t="s">
        <v>347</v>
      </c>
      <c r="E123" s="148" t="s">
        <v>378</v>
      </c>
      <c r="F123" s="723" t="s">
        <v>718</v>
      </c>
      <c r="G123" s="148" t="s">
        <v>706</v>
      </c>
      <c r="H123" s="148" t="s">
        <v>354</v>
      </c>
      <c r="I123" s="149" t="s">
        <v>348</v>
      </c>
      <c r="J123" s="151" t="s">
        <v>358</v>
      </c>
      <c r="K123" s="148"/>
      <c r="L123" s="150"/>
      <c r="M123" s="150"/>
      <c r="N123" s="150"/>
      <c r="O123" s="150"/>
      <c r="P123" s="150"/>
      <c r="Q123" s="150"/>
      <c r="R123" s="150">
        <v>3512756</v>
      </c>
      <c r="S123" s="150"/>
      <c r="T123" s="150"/>
      <c r="U123" s="150"/>
      <c r="V123" s="150"/>
      <c r="W123" s="150">
        <v>3512756</v>
      </c>
      <c r="X123" s="150"/>
      <c r="Y123" s="150"/>
      <c r="Z123" s="150"/>
      <c r="AA123" s="150"/>
      <c r="AB123" s="150"/>
      <c r="AC123" s="150"/>
      <c r="AD123" s="150"/>
      <c r="AE123" s="150"/>
      <c r="AF123" s="150"/>
      <c r="AG123" s="150"/>
      <c r="AH123" s="150"/>
      <c r="AI123" s="784">
        <f t="shared" si="11"/>
        <v>0</v>
      </c>
      <c r="AJ123" s="759">
        <f t="shared" si="10"/>
        <v>3512756</v>
      </c>
    </row>
    <row r="124" spans="1:36" s="83" customFormat="1" ht="15.75">
      <c r="A124" s="1075" t="s">
        <v>379</v>
      </c>
      <c r="B124" s="1076"/>
      <c r="C124" s="1076"/>
      <c r="D124" s="1076"/>
      <c r="E124" s="1076"/>
      <c r="F124" s="1076"/>
      <c r="G124" s="1076"/>
      <c r="H124" s="1076"/>
      <c r="I124" s="1076"/>
      <c r="J124" s="1076"/>
      <c r="K124" s="148"/>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784">
        <f t="shared" si="11"/>
        <v>0</v>
      </c>
      <c r="AJ124" s="759">
        <f t="shared" si="10"/>
        <v>0</v>
      </c>
    </row>
    <row r="125" spans="1:36" s="83" customFormat="1" ht="15.75">
      <c r="A125" s="1075" t="s">
        <v>345</v>
      </c>
      <c r="B125" s="1076"/>
      <c r="C125" s="1076"/>
      <c r="D125" s="1076"/>
      <c r="E125" s="1076"/>
      <c r="F125" s="1076"/>
      <c r="G125" s="1076"/>
      <c r="H125" s="1076"/>
      <c r="I125" s="1076"/>
      <c r="J125" s="1076"/>
      <c r="K125" s="148"/>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784">
        <f t="shared" si="11"/>
        <v>0</v>
      </c>
      <c r="AJ125" s="759">
        <f t="shared" si="10"/>
        <v>0</v>
      </c>
    </row>
    <row r="126" spans="1:36" s="83" customFormat="1" ht="15.75">
      <c r="A126" s="1075" t="s">
        <v>362</v>
      </c>
      <c r="B126" s="1076"/>
      <c r="C126" s="1076"/>
      <c r="D126" s="1076"/>
      <c r="E126" s="1076"/>
      <c r="F126" s="1076"/>
      <c r="G126" s="1076"/>
      <c r="H126" s="1076"/>
      <c r="I126" s="1076"/>
      <c r="J126" s="1076"/>
      <c r="K126" s="148"/>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784">
        <f t="shared" si="11"/>
        <v>0</v>
      </c>
      <c r="AJ126" s="759">
        <f t="shared" si="10"/>
        <v>0</v>
      </c>
    </row>
    <row r="127" spans="1:36" s="83" customFormat="1" ht="369.75">
      <c r="A127" s="742" t="s">
        <v>380</v>
      </c>
      <c r="B127" s="149"/>
      <c r="C127" s="151"/>
      <c r="D127" s="149" t="s">
        <v>347</v>
      </c>
      <c r="E127" s="151" t="s">
        <v>381</v>
      </c>
      <c r="F127" s="743" t="s">
        <v>80</v>
      </c>
      <c r="G127" s="148" t="s">
        <v>80</v>
      </c>
      <c r="H127" s="148" t="s">
        <v>391</v>
      </c>
      <c r="I127" s="149" t="s">
        <v>348</v>
      </c>
      <c r="J127" s="151" t="s">
        <v>358</v>
      </c>
      <c r="K127" s="148"/>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784">
        <f t="shared" si="11"/>
        <v>0</v>
      </c>
      <c r="AJ127" s="759">
        <f t="shared" si="10"/>
        <v>0</v>
      </c>
    </row>
    <row r="128" spans="1:36" s="83" customFormat="1" ht="15.75">
      <c r="A128" s="1075" t="s">
        <v>382</v>
      </c>
      <c r="B128" s="1076"/>
      <c r="C128" s="1076"/>
      <c r="D128" s="1076"/>
      <c r="E128" s="1076"/>
      <c r="F128" s="1076"/>
      <c r="G128" s="1076"/>
      <c r="H128" s="1076"/>
      <c r="I128" s="1076"/>
      <c r="J128" s="1076"/>
      <c r="K128" s="148"/>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784">
        <f t="shared" si="11"/>
        <v>0</v>
      </c>
      <c r="AJ128" s="759">
        <f t="shared" si="10"/>
        <v>0</v>
      </c>
    </row>
    <row r="129" spans="1:36" s="83" customFormat="1" ht="63.75">
      <c r="A129" s="743" t="s">
        <v>383</v>
      </c>
      <c r="B129" s="149"/>
      <c r="C129" s="148"/>
      <c r="D129" s="149" t="s">
        <v>347</v>
      </c>
      <c r="E129" s="148"/>
      <c r="F129" s="743" t="s">
        <v>80</v>
      </c>
      <c r="G129" s="148" t="s">
        <v>80</v>
      </c>
      <c r="H129" s="148" t="s">
        <v>391</v>
      </c>
      <c r="I129" s="149" t="s">
        <v>348</v>
      </c>
      <c r="J129" s="151" t="s">
        <v>384</v>
      </c>
      <c r="K129" s="148"/>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784">
        <f t="shared" si="11"/>
        <v>0</v>
      </c>
      <c r="AJ129" s="759">
        <f t="shared" si="10"/>
        <v>0</v>
      </c>
    </row>
    <row r="130" spans="1:36" s="83" customFormat="1" ht="63.75">
      <c r="A130" s="742" t="s">
        <v>385</v>
      </c>
      <c r="B130" s="149"/>
      <c r="C130" s="148"/>
      <c r="D130" s="149" t="s">
        <v>347</v>
      </c>
      <c r="E130" s="148"/>
      <c r="F130" s="723" t="s">
        <v>718</v>
      </c>
      <c r="G130" s="148" t="s">
        <v>706</v>
      </c>
      <c r="H130" s="148" t="s">
        <v>391</v>
      </c>
      <c r="I130" s="149" t="s">
        <v>348</v>
      </c>
      <c r="J130" s="151" t="s">
        <v>386</v>
      </c>
      <c r="K130" s="148"/>
      <c r="L130" s="150">
        <v>619200</v>
      </c>
      <c r="M130" s="150"/>
      <c r="N130" s="150"/>
      <c r="O130" s="150"/>
      <c r="P130" s="150"/>
      <c r="Q130" s="150">
        <v>619200</v>
      </c>
      <c r="R130" s="150">
        <v>743040</v>
      </c>
      <c r="S130" s="150"/>
      <c r="T130" s="150"/>
      <c r="U130" s="150"/>
      <c r="V130" s="150"/>
      <c r="W130" s="150">
        <v>743040</v>
      </c>
      <c r="X130" s="150"/>
      <c r="Y130" s="150"/>
      <c r="Z130" s="150"/>
      <c r="AA130" s="150"/>
      <c r="AB130" s="150"/>
      <c r="AC130" s="150"/>
      <c r="AD130" s="150"/>
      <c r="AE130" s="150"/>
      <c r="AF130" s="150"/>
      <c r="AG130" s="150"/>
      <c r="AH130" s="150"/>
      <c r="AI130" s="784">
        <f t="shared" si="11"/>
        <v>0</v>
      </c>
      <c r="AJ130" s="759">
        <f t="shared" si="10"/>
        <v>1362240</v>
      </c>
    </row>
    <row r="131" spans="1:36" s="83" customFormat="1" ht="331.5">
      <c r="A131" s="742" t="s">
        <v>387</v>
      </c>
      <c r="B131" s="149"/>
      <c r="C131" s="148"/>
      <c r="D131" s="149" t="s">
        <v>347</v>
      </c>
      <c r="E131" s="148" t="s">
        <v>388</v>
      </c>
      <c r="F131" s="743" t="s">
        <v>80</v>
      </c>
      <c r="G131" s="148" t="s">
        <v>80</v>
      </c>
      <c r="H131" s="148" t="s">
        <v>391</v>
      </c>
      <c r="I131" s="149" t="s">
        <v>348</v>
      </c>
      <c r="J131" s="151" t="s">
        <v>386</v>
      </c>
      <c r="K131" s="148"/>
      <c r="L131" s="150">
        <v>743040</v>
      </c>
      <c r="M131" s="150"/>
      <c r="N131" s="150"/>
      <c r="O131" s="150"/>
      <c r="P131" s="150"/>
      <c r="Q131" s="150">
        <v>743040</v>
      </c>
      <c r="R131" s="150">
        <v>891648</v>
      </c>
      <c r="S131" s="150"/>
      <c r="T131" s="150"/>
      <c r="U131" s="150"/>
      <c r="V131" s="150"/>
      <c r="W131" s="150">
        <v>891648</v>
      </c>
      <c r="X131" s="150">
        <v>1069977</v>
      </c>
      <c r="Y131" s="150"/>
      <c r="Z131" s="150"/>
      <c r="AA131" s="150"/>
      <c r="AB131" s="150"/>
      <c r="AC131" s="150">
        <f>SUM(X131)</f>
        <v>1069977</v>
      </c>
      <c r="AD131" s="150">
        <v>1283973</v>
      </c>
      <c r="AE131" s="150"/>
      <c r="AF131" s="150"/>
      <c r="AG131" s="150"/>
      <c r="AH131" s="150"/>
      <c r="AI131" s="800">
        <f>SUM(AD131:AH131)</f>
        <v>1283973</v>
      </c>
      <c r="AJ131" s="759">
        <f t="shared" si="10"/>
        <v>3988638</v>
      </c>
    </row>
    <row r="132" spans="1:36" s="83" customFormat="1" ht="15.75">
      <c r="A132" s="166" t="s">
        <v>276</v>
      </c>
      <c r="B132" s="167"/>
      <c r="C132" s="168"/>
      <c r="D132" s="167"/>
      <c r="E132" s="168"/>
      <c r="F132" s="169"/>
      <c r="G132" s="169"/>
      <c r="H132" s="169"/>
      <c r="I132" s="170"/>
      <c r="J132" s="171"/>
      <c r="K132" s="172"/>
      <c r="L132" s="372">
        <v>9557954</v>
      </c>
      <c r="M132" s="174"/>
      <c r="N132" s="174"/>
      <c r="O132" s="173"/>
      <c r="P132" s="174"/>
      <c r="Q132" s="372">
        <f>SUM(L132+O132)</f>
        <v>9557954</v>
      </c>
      <c r="R132" s="372">
        <v>5791928</v>
      </c>
      <c r="S132" s="175"/>
      <c r="T132" s="175"/>
      <c r="U132" s="176"/>
      <c r="V132" s="175"/>
      <c r="W132" s="372">
        <f>SUM(R132+U132)</f>
        <v>5791928</v>
      </c>
      <c r="X132" s="372">
        <v>1859544</v>
      </c>
      <c r="Y132" s="174"/>
      <c r="Z132" s="174"/>
      <c r="AA132" s="173"/>
      <c r="AB132" s="174"/>
      <c r="AC132" s="372">
        <f>SUM(X132+AA132)</f>
        <v>1859544</v>
      </c>
      <c r="AD132" s="173">
        <v>2218.6210000000001</v>
      </c>
      <c r="AE132" s="175"/>
      <c r="AF132" s="175"/>
      <c r="AG132" s="176"/>
      <c r="AH132" s="175"/>
      <c r="AI132" s="328">
        <v>2218621</v>
      </c>
      <c r="AJ132" s="770">
        <v>19428049</v>
      </c>
    </row>
    <row r="133" spans="1:36" s="83" customFormat="1" ht="15.75">
      <c r="A133" s="413"/>
      <c r="B133" s="414"/>
      <c r="C133" s="415"/>
      <c r="D133" s="414"/>
      <c r="E133" s="415"/>
      <c r="F133" s="416"/>
      <c r="G133" s="416"/>
      <c r="H133" s="416"/>
      <c r="I133" s="417"/>
      <c r="J133" s="418"/>
      <c r="K133" s="295"/>
      <c r="L133" s="420">
        <f>SUM(L102:L131)</f>
        <v>6208254</v>
      </c>
      <c r="M133" s="420">
        <f t="shared" ref="M133:AH133" si="12">SUM(M102:M131)</f>
        <v>0</v>
      </c>
      <c r="N133" s="420">
        <f t="shared" si="12"/>
        <v>0</v>
      </c>
      <c r="O133" s="420">
        <f t="shared" si="12"/>
        <v>0</v>
      </c>
      <c r="P133" s="420">
        <f t="shared" si="12"/>
        <v>0</v>
      </c>
      <c r="Q133" s="420">
        <f>SUM(Q102:Q131)</f>
        <v>6208254</v>
      </c>
      <c r="R133" s="420">
        <f t="shared" si="12"/>
        <v>5791928</v>
      </c>
      <c r="S133" s="420">
        <f t="shared" si="12"/>
        <v>0</v>
      </c>
      <c r="T133" s="420">
        <f t="shared" si="12"/>
        <v>0</v>
      </c>
      <c r="U133" s="420">
        <f t="shared" si="12"/>
        <v>0</v>
      </c>
      <c r="V133" s="420">
        <f t="shared" si="12"/>
        <v>0</v>
      </c>
      <c r="W133" s="420">
        <f t="shared" si="12"/>
        <v>5791928</v>
      </c>
      <c r="X133" s="420">
        <f t="shared" si="12"/>
        <v>1859543</v>
      </c>
      <c r="Y133" s="420">
        <f t="shared" si="12"/>
        <v>0</v>
      </c>
      <c r="Z133" s="420">
        <f t="shared" si="12"/>
        <v>0</v>
      </c>
      <c r="AA133" s="420">
        <f t="shared" si="12"/>
        <v>0</v>
      </c>
      <c r="AB133" s="420">
        <f t="shared" si="12"/>
        <v>0</v>
      </c>
      <c r="AC133" s="420">
        <f t="shared" si="12"/>
        <v>1859543</v>
      </c>
      <c r="AD133" s="420">
        <f t="shared" si="12"/>
        <v>2218621</v>
      </c>
      <c r="AE133" s="420">
        <f t="shared" si="12"/>
        <v>0</v>
      </c>
      <c r="AF133" s="420">
        <f t="shared" si="12"/>
        <v>0</v>
      </c>
      <c r="AG133" s="420">
        <f t="shared" si="12"/>
        <v>0</v>
      </c>
      <c r="AH133" s="420">
        <f t="shared" si="12"/>
        <v>0</v>
      </c>
      <c r="AI133" s="420">
        <f>SUM(AI102:AI131)</f>
        <v>2218621</v>
      </c>
      <c r="AJ133" s="771">
        <f>SUM(AI133+AC133+W133+Q133)</f>
        <v>16078346</v>
      </c>
    </row>
    <row r="134" spans="1:36">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J134" s="757">
        <f>AI133+AC133+W133+Q133</f>
        <v>16078346</v>
      </c>
    </row>
    <row r="135" spans="1:36">
      <c r="A135" s="138" t="s">
        <v>407</v>
      </c>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J135" s="757"/>
    </row>
    <row r="136" spans="1:36" ht="15.75" thickBot="1">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J136" s="757"/>
    </row>
    <row r="137" spans="1:36">
      <c r="A137" s="1126"/>
      <c r="B137" s="1129" t="s">
        <v>215</v>
      </c>
      <c r="C137" s="1129" t="s">
        <v>279</v>
      </c>
      <c r="D137" s="1132" t="s">
        <v>0</v>
      </c>
      <c r="E137" s="1121" t="s">
        <v>210</v>
      </c>
      <c r="F137" s="1134" t="s">
        <v>5</v>
      </c>
      <c r="G137" s="1135"/>
      <c r="H137" s="1056" t="s">
        <v>22</v>
      </c>
      <c r="I137" s="1118" t="s">
        <v>281</v>
      </c>
      <c r="J137" s="1121" t="s">
        <v>212</v>
      </c>
      <c r="K137" s="1121" t="s">
        <v>282</v>
      </c>
      <c r="L137" s="1056" t="s">
        <v>452</v>
      </c>
      <c r="M137" s="1124"/>
      <c r="N137" s="1124"/>
      <c r="O137" s="1124"/>
      <c r="P137" s="1124"/>
      <c r="Q137" s="1125"/>
      <c r="R137" s="1056" t="s">
        <v>453</v>
      </c>
      <c r="S137" s="1124"/>
      <c r="T137" s="1124"/>
      <c r="U137" s="1124"/>
      <c r="V137" s="1124"/>
      <c r="W137" s="1125"/>
      <c r="X137" s="1056" t="s">
        <v>453</v>
      </c>
      <c r="Y137" s="1124"/>
      <c r="Z137" s="1124"/>
      <c r="AA137" s="1124"/>
      <c r="AB137" s="1124"/>
      <c r="AC137" s="1125"/>
      <c r="AD137" s="1056" t="s">
        <v>454</v>
      </c>
      <c r="AE137" s="1057"/>
      <c r="AF137" s="1057"/>
      <c r="AG137" s="1057"/>
      <c r="AH137" s="1057"/>
      <c r="AI137" s="331"/>
      <c r="AJ137" s="772"/>
    </row>
    <row r="138" spans="1:36">
      <c r="A138" s="1127"/>
      <c r="B138" s="1130"/>
      <c r="C138" s="1130"/>
      <c r="D138" s="1115"/>
      <c r="E138" s="1122"/>
      <c r="F138" s="1111" t="s">
        <v>455</v>
      </c>
      <c r="G138" s="1113" t="s">
        <v>6</v>
      </c>
      <c r="H138" s="1116"/>
      <c r="I138" s="1119"/>
      <c r="J138" s="1122"/>
      <c r="K138" s="1122"/>
      <c r="L138" s="1108">
        <v>2013</v>
      </c>
      <c r="M138" s="1109"/>
      <c r="N138" s="1109"/>
      <c r="O138" s="1109"/>
      <c r="P138" s="1109"/>
      <c r="Q138" s="1110"/>
      <c r="R138" s="1115">
        <v>2014</v>
      </c>
      <c r="S138" s="1115"/>
      <c r="T138" s="1115"/>
      <c r="U138" s="1115"/>
      <c r="V138" s="1115"/>
      <c r="W138" s="1115"/>
      <c r="X138" s="1115">
        <v>2015</v>
      </c>
      <c r="Y138" s="1115"/>
      <c r="Z138" s="1115"/>
      <c r="AA138" s="1115"/>
      <c r="AB138" s="1115"/>
      <c r="AC138" s="1115"/>
      <c r="AD138" s="1115">
        <v>2016</v>
      </c>
      <c r="AE138" s="1115"/>
      <c r="AF138" s="1115"/>
      <c r="AG138" s="1115"/>
      <c r="AH138" s="1115"/>
      <c r="AI138" s="330"/>
      <c r="AJ138" s="762"/>
    </row>
    <row r="139" spans="1:36" ht="26.25" thickBot="1">
      <c r="A139" s="1128"/>
      <c r="B139" s="1131"/>
      <c r="C139" s="1131"/>
      <c r="D139" s="1133"/>
      <c r="E139" s="1123"/>
      <c r="F139" s="1112"/>
      <c r="G139" s="1114"/>
      <c r="H139" s="1117"/>
      <c r="I139" s="1120"/>
      <c r="J139" s="1123"/>
      <c r="K139" s="1123"/>
      <c r="L139" s="197" t="s">
        <v>1</v>
      </c>
      <c r="M139" s="198" t="s">
        <v>2</v>
      </c>
      <c r="N139" s="197" t="s">
        <v>3</v>
      </c>
      <c r="O139" s="197" t="s">
        <v>66</v>
      </c>
      <c r="P139" s="198" t="s">
        <v>19</v>
      </c>
      <c r="Q139" s="197" t="s">
        <v>4</v>
      </c>
      <c r="R139" s="197" t="s">
        <v>1</v>
      </c>
      <c r="S139" s="198" t="s">
        <v>2</v>
      </c>
      <c r="T139" s="197" t="s">
        <v>3</v>
      </c>
      <c r="U139" s="197" t="s">
        <v>66</v>
      </c>
      <c r="V139" s="198" t="s">
        <v>19</v>
      </c>
      <c r="W139" s="197" t="s">
        <v>4</v>
      </c>
      <c r="X139" s="197" t="s">
        <v>1</v>
      </c>
      <c r="Y139" s="198" t="s">
        <v>2</v>
      </c>
      <c r="Z139" s="197" t="s">
        <v>3</v>
      </c>
      <c r="AA139" s="197" t="s">
        <v>66</v>
      </c>
      <c r="AB139" s="198" t="s">
        <v>19</v>
      </c>
      <c r="AC139" s="197" t="s">
        <v>4</v>
      </c>
      <c r="AD139" s="197" t="s">
        <v>1</v>
      </c>
      <c r="AE139" s="198" t="s">
        <v>2</v>
      </c>
      <c r="AF139" s="197" t="s">
        <v>3</v>
      </c>
      <c r="AG139" s="197" t="s">
        <v>66</v>
      </c>
      <c r="AH139" s="198" t="s">
        <v>19</v>
      </c>
      <c r="AI139" s="333" t="s">
        <v>688</v>
      </c>
      <c r="AJ139" s="773" t="s">
        <v>691</v>
      </c>
    </row>
    <row r="140" spans="1:36">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330"/>
      <c r="AJ140" s="762"/>
    </row>
    <row r="141" spans="1:36" ht="165.75">
      <c r="A141" s="201" t="s">
        <v>678</v>
      </c>
      <c r="B141" s="202"/>
      <c r="C141" s="203"/>
      <c r="D141" s="196" t="s">
        <v>407</v>
      </c>
      <c r="E141" s="204" t="s">
        <v>408</v>
      </c>
      <c r="F141" s="710" t="s">
        <v>719</v>
      </c>
      <c r="G141" s="490" t="s">
        <v>699</v>
      </c>
      <c r="H141" s="206"/>
      <c r="I141" s="207"/>
      <c r="J141" s="208"/>
      <c r="K141" s="205"/>
      <c r="L141" s="801">
        <v>41666</v>
      </c>
      <c r="M141" s="802"/>
      <c r="N141" s="802"/>
      <c r="O141" s="802"/>
      <c r="P141" s="802"/>
      <c r="Q141" s="803">
        <f>SUM(L141:P141)</f>
        <v>41666</v>
      </c>
      <c r="R141" s="801">
        <v>41666</v>
      </c>
      <c r="S141" s="802"/>
      <c r="T141" s="802"/>
      <c r="U141" s="802"/>
      <c r="V141" s="802"/>
      <c r="W141" s="803">
        <f>SUM(R141:V141)</f>
        <v>41666</v>
      </c>
      <c r="X141" s="801">
        <v>41666</v>
      </c>
      <c r="Y141" s="802"/>
      <c r="Z141" s="802"/>
      <c r="AA141" s="802"/>
      <c r="AB141" s="802"/>
      <c r="AC141" s="803">
        <f>SUM(X141:AB141)</f>
        <v>41666</v>
      </c>
      <c r="AD141" s="801">
        <v>41666</v>
      </c>
      <c r="AE141" s="802"/>
      <c r="AF141" s="802"/>
      <c r="AG141" s="802"/>
      <c r="AH141" s="802"/>
      <c r="AI141" s="803">
        <f>SUM(AD141:AH141)</f>
        <v>41666</v>
      </c>
      <c r="AJ141" s="762">
        <f>+Q141+W141+AC141+AI141</f>
        <v>166664</v>
      </c>
    </row>
    <row r="142" spans="1:36" ht="178.5">
      <c r="A142" s="207"/>
      <c r="B142" s="203"/>
      <c r="C142" s="203"/>
      <c r="D142" s="196" t="s">
        <v>407</v>
      </c>
      <c r="E142" s="200" t="s">
        <v>409</v>
      </c>
      <c r="F142" s="710"/>
      <c r="G142" s="711"/>
      <c r="H142" s="206"/>
      <c r="I142" s="207"/>
      <c r="J142" s="208"/>
      <c r="K142" s="205"/>
      <c r="L142" s="804"/>
      <c r="M142" s="804"/>
      <c r="N142" s="804"/>
      <c r="O142" s="804"/>
      <c r="P142" s="804"/>
      <c r="Q142" s="804"/>
      <c r="R142" s="804"/>
      <c r="S142" s="804"/>
      <c r="T142" s="804"/>
      <c r="U142" s="804"/>
      <c r="V142" s="804"/>
      <c r="W142" s="803">
        <f t="shared" ref="W142:W149" si="13">SUM(R142:V142)</f>
        <v>0</v>
      </c>
      <c r="X142" s="804"/>
      <c r="Y142" s="804"/>
      <c r="Z142" s="804"/>
      <c r="AA142" s="804"/>
      <c r="AB142" s="804"/>
      <c r="AC142" s="804"/>
      <c r="AD142" s="804"/>
      <c r="AE142" s="804"/>
      <c r="AF142" s="804"/>
      <c r="AG142" s="804"/>
      <c r="AH142" s="804"/>
      <c r="AI142" s="804"/>
      <c r="AJ142" s="762">
        <f t="shared" ref="AJ142:AJ185" si="14">+Q142+W142+AC142+AI142</f>
        <v>0</v>
      </c>
    </row>
    <row r="143" spans="1:36" ht="89.25">
      <c r="A143" s="207"/>
      <c r="B143" s="203"/>
      <c r="C143" s="203"/>
      <c r="D143" s="196" t="s">
        <v>407</v>
      </c>
      <c r="E143" s="203" t="s">
        <v>410</v>
      </c>
      <c r="F143" s="710"/>
      <c r="G143" s="711"/>
      <c r="H143" s="206"/>
      <c r="I143" s="207"/>
      <c r="J143" s="208"/>
      <c r="K143" s="205"/>
      <c r="L143" s="804"/>
      <c r="M143" s="804"/>
      <c r="N143" s="804"/>
      <c r="O143" s="804"/>
      <c r="P143" s="804"/>
      <c r="Q143" s="804"/>
      <c r="R143" s="804"/>
      <c r="S143" s="804"/>
      <c r="T143" s="804"/>
      <c r="U143" s="804"/>
      <c r="V143" s="804"/>
      <c r="W143" s="803">
        <f t="shared" si="13"/>
        <v>0</v>
      </c>
      <c r="X143" s="804"/>
      <c r="Y143" s="804"/>
      <c r="Z143" s="804"/>
      <c r="AA143" s="804"/>
      <c r="AB143" s="804"/>
      <c r="AC143" s="804"/>
      <c r="AD143" s="804"/>
      <c r="AE143" s="804"/>
      <c r="AF143" s="804"/>
      <c r="AG143" s="804"/>
      <c r="AH143" s="804"/>
      <c r="AI143" s="804"/>
      <c r="AJ143" s="762">
        <f t="shared" si="14"/>
        <v>0</v>
      </c>
    </row>
    <row r="144" spans="1:36" ht="102">
      <c r="A144" s="207"/>
      <c r="B144" s="203"/>
      <c r="C144" s="203"/>
      <c r="D144" s="196" t="s">
        <v>407</v>
      </c>
      <c r="E144" s="203" t="s">
        <v>411</v>
      </c>
      <c r="F144" s="710"/>
      <c r="G144" s="711"/>
      <c r="H144" s="206"/>
      <c r="I144" s="207"/>
      <c r="J144" s="208"/>
      <c r="K144" s="205"/>
      <c r="L144" s="804"/>
      <c r="M144" s="804"/>
      <c r="N144" s="804"/>
      <c r="O144" s="804"/>
      <c r="P144" s="804"/>
      <c r="Q144" s="804"/>
      <c r="R144" s="804"/>
      <c r="S144" s="804"/>
      <c r="T144" s="804"/>
      <c r="U144" s="804"/>
      <c r="V144" s="804"/>
      <c r="W144" s="803">
        <f t="shared" si="13"/>
        <v>0</v>
      </c>
      <c r="X144" s="804"/>
      <c r="Y144" s="804"/>
      <c r="Z144" s="804"/>
      <c r="AA144" s="804"/>
      <c r="AB144" s="804"/>
      <c r="AC144" s="804"/>
      <c r="AD144" s="804"/>
      <c r="AE144" s="804"/>
      <c r="AF144" s="804"/>
      <c r="AG144" s="804"/>
      <c r="AH144" s="804"/>
      <c r="AI144" s="804"/>
      <c r="AJ144" s="762">
        <f t="shared" si="14"/>
        <v>0</v>
      </c>
    </row>
    <row r="145" spans="1:36" ht="76.5">
      <c r="A145" s="201" t="s">
        <v>679</v>
      </c>
      <c r="B145" s="210"/>
      <c r="C145" s="210"/>
      <c r="D145" s="196" t="s">
        <v>407</v>
      </c>
      <c r="E145" s="210" t="s">
        <v>412</v>
      </c>
      <c r="F145" s="205" t="s">
        <v>719</v>
      </c>
      <c r="G145" s="490" t="s">
        <v>699</v>
      </c>
      <c r="H145" s="206"/>
      <c r="I145" s="207"/>
      <c r="J145" s="208"/>
      <c r="K145" s="205"/>
      <c r="L145" s="805">
        <v>6666</v>
      </c>
      <c r="M145" s="802"/>
      <c r="N145" s="802"/>
      <c r="O145" s="802"/>
      <c r="P145" s="802"/>
      <c r="Q145" s="806">
        <f>SUM(L145:P145)</f>
        <v>6666</v>
      </c>
      <c r="R145" s="805">
        <v>6666</v>
      </c>
      <c r="S145" s="804"/>
      <c r="T145" s="804"/>
      <c r="U145" s="804"/>
      <c r="V145" s="804"/>
      <c r="W145" s="803">
        <f t="shared" si="13"/>
        <v>6666</v>
      </c>
      <c r="X145" s="805">
        <v>6666</v>
      </c>
      <c r="Y145" s="802"/>
      <c r="Z145" s="802"/>
      <c r="AA145" s="802"/>
      <c r="AB145" s="802"/>
      <c r="AC145" s="806">
        <f>SUM(X145:AB145)</f>
        <v>6666</v>
      </c>
      <c r="AD145" s="805">
        <v>6666</v>
      </c>
      <c r="AE145" s="802"/>
      <c r="AF145" s="802"/>
      <c r="AG145" s="802"/>
      <c r="AH145" s="802"/>
      <c r="AI145" s="803">
        <f>SUM(AD145:AH145)</f>
        <v>6666</v>
      </c>
      <c r="AJ145" s="762">
        <f t="shared" si="14"/>
        <v>26664</v>
      </c>
    </row>
    <row r="146" spans="1:36" ht="89.25">
      <c r="A146" s="201"/>
      <c r="B146" s="210"/>
      <c r="C146" s="210"/>
      <c r="D146" s="196" t="s">
        <v>407</v>
      </c>
      <c r="E146" s="210" t="s">
        <v>413</v>
      </c>
      <c r="F146" s="710"/>
      <c r="G146" s="711"/>
      <c r="H146" s="206"/>
      <c r="I146" s="207"/>
      <c r="J146" s="208"/>
      <c r="K146" s="205"/>
      <c r="L146" s="804"/>
      <c r="M146" s="804"/>
      <c r="N146" s="804"/>
      <c r="O146" s="804"/>
      <c r="P146" s="804"/>
      <c r="Q146" s="804"/>
      <c r="R146" s="804"/>
      <c r="S146" s="804"/>
      <c r="T146" s="804"/>
      <c r="U146" s="804"/>
      <c r="V146" s="804"/>
      <c r="W146" s="803">
        <f t="shared" si="13"/>
        <v>0</v>
      </c>
      <c r="X146" s="804"/>
      <c r="Y146" s="804"/>
      <c r="Z146" s="804"/>
      <c r="AA146" s="804"/>
      <c r="AB146" s="804"/>
      <c r="AC146" s="804"/>
      <c r="AD146" s="804"/>
      <c r="AE146" s="804"/>
      <c r="AF146" s="804"/>
      <c r="AG146" s="804"/>
      <c r="AH146" s="804"/>
      <c r="AI146" s="804"/>
      <c r="AJ146" s="762">
        <f t="shared" si="14"/>
        <v>0</v>
      </c>
    </row>
    <row r="147" spans="1:36" ht="76.5">
      <c r="A147" s="201"/>
      <c r="B147" s="210"/>
      <c r="C147" s="210"/>
      <c r="D147" s="196" t="s">
        <v>407</v>
      </c>
      <c r="E147" s="210" t="s">
        <v>414</v>
      </c>
      <c r="F147" s="710"/>
      <c r="G147" s="711"/>
      <c r="H147" s="206"/>
      <c r="I147" s="207"/>
      <c r="J147" s="208"/>
      <c r="K147" s="205"/>
      <c r="L147" s="804"/>
      <c r="M147" s="804"/>
      <c r="N147" s="804"/>
      <c r="O147" s="804"/>
      <c r="P147" s="804"/>
      <c r="Q147" s="804"/>
      <c r="R147" s="804"/>
      <c r="S147" s="804"/>
      <c r="T147" s="804"/>
      <c r="U147" s="804"/>
      <c r="V147" s="804"/>
      <c r="W147" s="803">
        <f t="shared" si="13"/>
        <v>0</v>
      </c>
      <c r="X147" s="804"/>
      <c r="Y147" s="804"/>
      <c r="Z147" s="804"/>
      <c r="AA147" s="804"/>
      <c r="AB147" s="804"/>
      <c r="AC147" s="804"/>
      <c r="AD147" s="804"/>
      <c r="AE147" s="804"/>
      <c r="AF147" s="804"/>
      <c r="AG147" s="804"/>
      <c r="AH147" s="804"/>
      <c r="AI147" s="804"/>
      <c r="AJ147" s="762">
        <f t="shared" si="14"/>
        <v>0</v>
      </c>
    </row>
    <row r="148" spans="1:36" ht="127.5">
      <c r="A148" s="201"/>
      <c r="B148" s="210"/>
      <c r="C148" s="210"/>
      <c r="D148" s="196" t="s">
        <v>407</v>
      </c>
      <c r="E148" s="210" t="s">
        <v>415</v>
      </c>
      <c r="F148" s="710"/>
      <c r="G148" s="711"/>
      <c r="H148" s="206"/>
      <c r="I148" s="207"/>
      <c r="J148" s="208"/>
      <c r="K148" s="205"/>
      <c r="L148" s="804"/>
      <c r="M148" s="804"/>
      <c r="N148" s="804"/>
      <c r="O148" s="804"/>
      <c r="P148" s="804"/>
      <c r="Q148" s="804"/>
      <c r="R148" s="804"/>
      <c r="S148" s="804"/>
      <c r="T148" s="804"/>
      <c r="U148" s="804"/>
      <c r="V148" s="804"/>
      <c r="W148" s="803">
        <f t="shared" si="13"/>
        <v>0</v>
      </c>
      <c r="X148" s="804"/>
      <c r="Y148" s="804"/>
      <c r="Z148" s="804"/>
      <c r="AA148" s="804"/>
      <c r="AB148" s="804"/>
      <c r="AC148" s="804"/>
      <c r="AD148" s="804"/>
      <c r="AE148" s="804"/>
      <c r="AF148" s="804"/>
      <c r="AG148" s="804"/>
      <c r="AH148" s="804"/>
      <c r="AI148" s="804"/>
      <c r="AJ148" s="762">
        <f t="shared" si="14"/>
        <v>0</v>
      </c>
    </row>
    <row r="149" spans="1:36" ht="140.25">
      <c r="A149" s="201" t="s">
        <v>680</v>
      </c>
      <c r="B149" s="203"/>
      <c r="C149" s="203"/>
      <c r="D149" s="196" t="s">
        <v>407</v>
      </c>
      <c r="E149" s="203" t="s">
        <v>416</v>
      </c>
      <c r="F149" s="205" t="s">
        <v>719</v>
      </c>
      <c r="G149" s="490" t="s">
        <v>699</v>
      </c>
      <c r="H149" s="206"/>
      <c r="I149" s="207"/>
      <c r="J149" s="208"/>
      <c r="K149" s="205"/>
      <c r="L149" s="801">
        <v>8333</v>
      </c>
      <c r="M149" s="802"/>
      <c r="N149" s="802"/>
      <c r="O149" s="802"/>
      <c r="P149" s="802"/>
      <c r="Q149" s="806">
        <f>SUM(L149:P149)</f>
        <v>8333</v>
      </c>
      <c r="R149" s="801">
        <v>8333</v>
      </c>
      <c r="S149" s="804"/>
      <c r="T149" s="804"/>
      <c r="U149" s="804"/>
      <c r="V149" s="804"/>
      <c r="W149" s="803">
        <f t="shared" si="13"/>
        <v>8333</v>
      </c>
      <c r="X149" s="801">
        <v>8333</v>
      </c>
      <c r="Y149" s="802"/>
      <c r="Z149" s="802"/>
      <c r="AA149" s="802"/>
      <c r="AB149" s="802"/>
      <c r="AC149" s="806">
        <f>SUM(X149:AB149)</f>
        <v>8333</v>
      </c>
      <c r="AD149" s="801">
        <v>8333</v>
      </c>
      <c r="AE149" s="802"/>
      <c r="AF149" s="802"/>
      <c r="AG149" s="802"/>
      <c r="AH149" s="802"/>
      <c r="AI149" s="803">
        <f>SUM(AD149:AH149)</f>
        <v>8333</v>
      </c>
      <c r="AJ149" s="762">
        <f t="shared" si="14"/>
        <v>33332</v>
      </c>
    </row>
    <row r="150" spans="1:36" ht="102">
      <c r="A150" s="201"/>
      <c r="B150" s="203"/>
      <c r="C150" s="203"/>
      <c r="D150" s="196" t="s">
        <v>407</v>
      </c>
      <c r="E150" s="203" t="s">
        <v>417</v>
      </c>
      <c r="F150" s="710"/>
      <c r="G150" s="711"/>
      <c r="H150" s="206"/>
      <c r="I150" s="207"/>
      <c r="J150" s="208"/>
      <c r="K150" s="205"/>
      <c r="L150" s="804"/>
      <c r="M150" s="804"/>
      <c r="N150" s="804"/>
      <c r="O150" s="804"/>
      <c r="P150" s="804"/>
      <c r="Q150" s="209"/>
      <c r="R150" s="804"/>
      <c r="S150" s="804"/>
      <c r="T150" s="804"/>
      <c r="U150" s="804"/>
      <c r="V150" s="804"/>
      <c r="W150" s="209"/>
      <c r="X150" s="804"/>
      <c r="Y150" s="804"/>
      <c r="Z150" s="804"/>
      <c r="AA150" s="804"/>
      <c r="AB150" s="804"/>
      <c r="AC150" s="209"/>
      <c r="AD150" s="804"/>
      <c r="AE150" s="804"/>
      <c r="AF150" s="804"/>
      <c r="AG150" s="804"/>
      <c r="AH150" s="804"/>
      <c r="AI150" s="209"/>
      <c r="AJ150" s="762">
        <f t="shared" si="14"/>
        <v>0</v>
      </c>
    </row>
    <row r="151" spans="1:36" ht="63.75">
      <c r="A151" s="201"/>
      <c r="B151" s="203"/>
      <c r="C151" s="203"/>
      <c r="D151" s="196" t="s">
        <v>407</v>
      </c>
      <c r="E151" s="203" t="s">
        <v>418</v>
      </c>
      <c r="F151" s="710"/>
      <c r="G151" s="711"/>
      <c r="H151" s="206"/>
      <c r="I151" s="207"/>
      <c r="J151" s="208"/>
      <c r="K151" s="205"/>
      <c r="L151" s="804"/>
      <c r="M151" s="804"/>
      <c r="N151" s="804"/>
      <c r="O151" s="804"/>
      <c r="P151" s="804"/>
      <c r="Q151" s="209"/>
      <c r="R151" s="804"/>
      <c r="S151" s="804"/>
      <c r="T151" s="804"/>
      <c r="U151" s="804"/>
      <c r="V151" s="804"/>
      <c r="W151" s="209"/>
      <c r="X151" s="804"/>
      <c r="Y151" s="804"/>
      <c r="Z151" s="804"/>
      <c r="AA151" s="804"/>
      <c r="AB151" s="804"/>
      <c r="AC151" s="209"/>
      <c r="AD151" s="804"/>
      <c r="AE151" s="804"/>
      <c r="AF151" s="804"/>
      <c r="AG151" s="804"/>
      <c r="AH151" s="804"/>
      <c r="AI151" s="209"/>
      <c r="AJ151" s="762">
        <f t="shared" si="14"/>
        <v>0</v>
      </c>
    </row>
    <row r="152" spans="1:36" ht="89.25">
      <c r="A152" s="207"/>
      <c r="B152" s="211"/>
      <c r="C152" s="199"/>
      <c r="D152" s="196" t="s">
        <v>407</v>
      </c>
      <c r="E152" s="203" t="s">
        <v>419</v>
      </c>
      <c r="F152" s="710"/>
      <c r="G152" s="711"/>
      <c r="H152" s="206"/>
      <c r="I152" s="207"/>
      <c r="J152" s="208"/>
      <c r="K152" s="205"/>
      <c r="L152" s="804"/>
      <c r="M152" s="804"/>
      <c r="N152" s="804"/>
      <c r="O152" s="804"/>
      <c r="P152" s="804"/>
      <c r="Q152" s="804"/>
      <c r="R152" s="804"/>
      <c r="S152" s="804"/>
      <c r="T152" s="804"/>
      <c r="U152" s="804"/>
      <c r="V152" s="804"/>
      <c r="W152" s="804"/>
      <c r="X152" s="804"/>
      <c r="Y152" s="804"/>
      <c r="Z152" s="804"/>
      <c r="AA152" s="804"/>
      <c r="AB152" s="804"/>
      <c r="AC152" s="804"/>
      <c r="AD152" s="804"/>
      <c r="AE152" s="804"/>
      <c r="AF152" s="804"/>
      <c r="AG152" s="804"/>
      <c r="AH152" s="804"/>
      <c r="AI152" s="804"/>
      <c r="AJ152" s="762">
        <f t="shared" si="14"/>
        <v>0</v>
      </c>
    </row>
    <row r="153" spans="1:36" ht="204">
      <c r="A153" s="201" t="s">
        <v>681</v>
      </c>
      <c r="B153" s="202"/>
      <c r="C153" s="199"/>
      <c r="D153" s="196" t="s">
        <v>407</v>
      </c>
      <c r="E153" s="210" t="s">
        <v>420</v>
      </c>
      <c r="F153" s="205" t="s">
        <v>719</v>
      </c>
      <c r="G153" s="490" t="s">
        <v>699</v>
      </c>
      <c r="H153" s="206"/>
      <c r="I153" s="207"/>
      <c r="J153" s="208"/>
      <c r="K153" s="205"/>
      <c r="L153" s="805">
        <v>6666</v>
      </c>
      <c r="M153" s="802"/>
      <c r="N153" s="802"/>
      <c r="O153" s="802"/>
      <c r="P153" s="802"/>
      <c r="Q153" s="806">
        <f>SUM(L153:P153)</f>
        <v>6666</v>
      </c>
      <c r="R153" s="805">
        <v>6666</v>
      </c>
      <c r="S153" s="802"/>
      <c r="T153" s="802"/>
      <c r="U153" s="802"/>
      <c r="V153" s="802"/>
      <c r="W153" s="806">
        <f>SUM(R153:V153)</f>
        <v>6666</v>
      </c>
      <c r="X153" s="805">
        <v>6666</v>
      </c>
      <c r="Y153" s="802"/>
      <c r="Z153" s="802"/>
      <c r="AA153" s="802"/>
      <c r="AB153" s="802"/>
      <c r="AC153" s="806">
        <f>SUM(X153:AB153)</f>
        <v>6666</v>
      </c>
      <c r="AD153" s="805">
        <v>6666</v>
      </c>
      <c r="AE153" s="802"/>
      <c r="AF153" s="802"/>
      <c r="AG153" s="802"/>
      <c r="AH153" s="802"/>
      <c r="AI153" s="803">
        <f>SUM(AD153:AH153)</f>
        <v>6666</v>
      </c>
      <c r="AJ153" s="762">
        <f t="shared" si="14"/>
        <v>26664</v>
      </c>
    </row>
    <row r="154" spans="1:36" ht="51">
      <c r="A154" s="201"/>
      <c r="B154" s="212"/>
      <c r="C154" s="199"/>
      <c r="D154" s="196" t="s">
        <v>407</v>
      </c>
      <c r="E154" s="210" t="s">
        <v>421</v>
      </c>
      <c r="F154" s="710"/>
      <c r="G154" s="711"/>
      <c r="H154" s="206"/>
      <c r="I154" s="207"/>
      <c r="J154" s="208"/>
      <c r="K154" s="205"/>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762">
        <f t="shared" si="14"/>
        <v>0</v>
      </c>
    </row>
    <row r="155" spans="1:36" ht="63.75">
      <c r="A155" s="201"/>
      <c r="B155" s="212"/>
      <c r="C155" s="203"/>
      <c r="D155" s="196" t="s">
        <v>407</v>
      </c>
      <c r="E155" s="210" t="s">
        <v>422</v>
      </c>
      <c r="F155" s="710"/>
      <c r="G155" s="711"/>
      <c r="H155" s="206"/>
      <c r="I155" s="207"/>
      <c r="J155" s="208"/>
      <c r="K155" s="205"/>
      <c r="L155" s="804"/>
      <c r="M155" s="804"/>
      <c r="N155" s="804"/>
      <c r="O155" s="804"/>
      <c r="P155" s="804"/>
      <c r="Q155" s="804"/>
      <c r="R155" s="804"/>
      <c r="S155" s="804"/>
      <c r="T155" s="804"/>
      <c r="U155" s="804"/>
      <c r="V155" s="804"/>
      <c r="W155" s="804"/>
      <c r="X155" s="804"/>
      <c r="Y155" s="804"/>
      <c r="Z155" s="804"/>
      <c r="AA155" s="804"/>
      <c r="AB155" s="804"/>
      <c r="AC155" s="804"/>
      <c r="AD155" s="804"/>
      <c r="AE155" s="804"/>
      <c r="AF155" s="804"/>
      <c r="AG155" s="804"/>
      <c r="AH155" s="804"/>
      <c r="AI155" s="804"/>
      <c r="AJ155" s="762">
        <f t="shared" si="14"/>
        <v>0</v>
      </c>
    </row>
    <row r="156" spans="1:36" ht="76.5">
      <c r="A156" s="201"/>
      <c r="B156" s="212"/>
      <c r="C156" s="199"/>
      <c r="D156" s="196" t="s">
        <v>407</v>
      </c>
      <c r="E156" s="210" t="s">
        <v>423</v>
      </c>
      <c r="F156" s="710"/>
      <c r="G156" s="711"/>
      <c r="H156" s="206"/>
      <c r="I156" s="207"/>
      <c r="J156" s="208"/>
      <c r="K156" s="205"/>
      <c r="L156" s="804"/>
      <c r="M156" s="804"/>
      <c r="N156" s="804"/>
      <c r="O156" s="804"/>
      <c r="P156" s="804"/>
      <c r="Q156" s="804"/>
      <c r="R156" s="804"/>
      <c r="S156" s="804"/>
      <c r="T156" s="804"/>
      <c r="U156" s="804"/>
      <c r="V156" s="804"/>
      <c r="W156" s="804"/>
      <c r="X156" s="804"/>
      <c r="Y156" s="804"/>
      <c r="Z156" s="804"/>
      <c r="AA156" s="804"/>
      <c r="AB156" s="804"/>
      <c r="AC156" s="804"/>
      <c r="AD156" s="804"/>
      <c r="AE156" s="804"/>
      <c r="AF156" s="804"/>
      <c r="AG156" s="804"/>
      <c r="AH156" s="804"/>
      <c r="AI156" s="804"/>
      <c r="AJ156" s="762">
        <f t="shared" si="14"/>
        <v>0</v>
      </c>
    </row>
    <row r="157" spans="1:36" ht="178.5">
      <c r="A157" s="213" t="s">
        <v>682</v>
      </c>
      <c r="B157" s="202"/>
      <c r="C157" s="199"/>
      <c r="D157" s="196" t="s">
        <v>407</v>
      </c>
      <c r="E157" s="210" t="s">
        <v>424</v>
      </c>
      <c r="F157" s="205" t="s">
        <v>719</v>
      </c>
      <c r="G157" s="490" t="s">
        <v>699</v>
      </c>
      <c r="H157" s="206"/>
      <c r="I157" s="207"/>
      <c r="J157" s="208"/>
      <c r="K157" s="205"/>
      <c r="L157" s="807">
        <v>16666</v>
      </c>
      <c r="M157" s="802"/>
      <c r="N157" s="802"/>
      <c r="O157" s="802"/>
      <c r="P157" s="802"/>
      <c r="Q157" s="806">
        <f>SUM(L157:P157)</f>
        <v>16666</v>
      </c>
      <c r="R157" s="807">
        <v>16666</v>
      </c>
      <c r="S157" s="802"/>
      <c r="T157" s="802"/>
      <c r="U157" s="802"/>
      <c r="V157" s="802"/>
      <c r="W157" s="806">
        <f>SUM(R157:V157)</f>
        <v>16666</v>
      </c>
      <c r="X157" s="807">
        <v>16666</v>
      </c>
      <c r="Y157" s="802"/>
      <c r="Z157" s="802"/>
      <c r="AA157" s="802"/>
      <c r="AB157" s="802"/>
      <c r="AC157" s="806">
        <f>SUM(X157:AB157)</f>
        <v>16666</v>
      </c>
      <c r="AD157" s="807">
        <v>16666</v>
      </c>
      <c r="AE157" s="802"/>
      <c r="AF157" s="802"/>
      <c r="AG157" s="802"/>
      <c r="AH157" s="802"/>
      <c r="AI157" s="803">
        <f>SUM(AD157:AH157)</f>
        <v>16666</v>
      </c>
      <c r="AJ157" s="762">
        <f t="shared" si="14"/>
        <v>66664</v>
      </c>
    </row>
    <row r="158" spans="1:36" ht="102">
      <c r="A158" s="207"/>
      <c r="B158" s="210"/>
      <c r="C158" s="202"/>
      <c r="D158" s="196" t="s">
        <v>407</v>
      </c>
      <c r="E158" s="210" t="s">
        <v>425</v>
      </c>
      <c r="F158" s="710"/>
      <c r="G158" s="711"/>
      <c r="H158" s="206"/>
      <c r="I158" s="207"/>
      <c r="J158" s="208"/>
      <c r="K158" s="205"/>
      <c r="L158" s="804"/>
      <c r="M158" s="804"/>
      <c r="N158" s="804"/>
      <c r="O158" s="804"/>
      <c r="P158" s="804"/>
      <c r="Q158" s="804"/>
      <c r="R158" s="804"/>
      <c r="S158" s="804"/>
      <c r="T158" s="804"/>
      <c r="U158" s="804"/>
      <c r="V158" s="804"/>
      <c r="W158" s="804"/>
      <c r="X158" s="804"/>
      <c r="Y158" s="804"/>
      <c r="Z158" s="804"/>
      <c r="AA158" s="804"/>
      <c r="AB158" s="804"/>
      <c r="AC158" s="804"/>
      <c r="AD158" s="804"/>
      <c r="AE158" s="804"/>
      <c r="AF158" s="804"/>
      <c r="AG158" s="804"/>
      <c r="AH158" s="804"/>
      <c r="AI158" s="804"/>
      <c r="AJ158" s="762">
        <f t="shared" si="14"/>
        <v>0</v>
      </c>
    </row>
    <row r="159" spans="1:36" ht="229.5">
      <c r="A159" s="207"/>
      <c r="B159" s="210"/>
      <c r="C159" s="210"/>
      <c r="D159" s="196" t="s">
        <v>407</v>
      </c>
      <c r="E159" s="210" t="s">
        <v>426</v>
      </c>
      <c r="F159" s="710"/>
      <c r="G159" s="711"/>
      <c r="H159" s="206"/>
      <c r="I159" s="207"/>
      <c r="J159" s="208"/>
      <c r="K159" s="205"/>
      <c r="L159" s="804"/>
      <c r="M159" s="804"/>
      <c r="N159" s="804"/>
      <c r="O159" s="804"/>
      <c r="P159" s="804"/>
      <c r="Q159" s="804"/>
      <c r="R159" s="804"/>
      <c r="S159" s="804"/>
      <c r="T159" s="804"/>
      <c r="U159" s="804"/>
      <c r="V159" s="804"/>
      <c r="W159" s="804"/>
      <c r="X159" s="804"/>
      <c r="Y159" s="804"/>
      <c r="Z159" s="804"/>
      <c r="AA159" s="804"/>
      <c r="AB159" s="804"/>
      <c r="AC159" s="804"/>
      <c r="AD159" s="804"/>
      <c r="AE159" s="804"/>
      <c r="AF159" s="804"/>
      <c r="AG159" s="804"/>
      <c r="AH159" s="804"/>
      <c r="AI159" s="804"/>
      <c r="AJ159" s="762">
        <f t="shared" si="14"/>
        <v>0</v>
      </c>
    </row>
    <row r="160" spans="1:36" ht="89.25">
      <c r="A160" s="201" t="s">
        <v>683</v>
      </c>
      <c r="B160" s="210"/>
      <c r="C160" s="199"/>
      <c r="D160" s="196" t="s">
        <v>407</v>
      </c>
      <c r="E160" s="210" t="s">
        <v>427</v>
      </c>
      <c r="F160" s="205" t="s">
        <v>719</v>
      </c>
      <c r="G160" s="490" t="s">
        <v>699</v>
      </c>
      <c r="H160" s="206"/>
      <c r="I160" s="207"/>
      <c r="J160" s="208"/>
      <c r="K160" s="205"/>
      <c r="L160" s="807">
        <v>17500</v>
      </c>
      <c r="M160" s="802"/>
      <c r="N160" s="802"/>
      <c r="O160" s="802"/>
      <c r="P160" s="802"/>
      <c r="Q160" s="806">
        <f>SUM(L160:P160)</f>
        <v>17500</v>
      </c>
      <c r="R160" s="807">
        <v>17500</v>
      </c>
      <c r="S160" s="802"/>
      <c r="T160" s="802"/>
      <c r="U160" s="802"/>
      <c r="V160" s="802"/>
      <c r="W160" s="806">
        <f>SUM(R160:V160)</f>
        <v>17500</v>
      </c>
      <c r="X160" s="807">
        <v>17500</v>
      </c>
      <c r="Y160" s="802"/>
      <c r="Z160" s="802"/>
      <c r="AA160" s="802"/>
      <c r="AB160" s="802"/>
      <c r="AC160" s="806">
        <f>SUM(X160:AB160)</f>
        <v>17500</v>
      </c>
      <c r="AD160" s="807">
        <v>17500</v>
      </c>
      <c r="AE160" s="802"/>
      <c r="AF160" s="802"/>
      <c r="AG160" s="802"/>
      <c r="AH160" s="802"/>
      <c r="AI160" s="803">
        <f>SUM(AD160:AH160)</f>
        <v>17500</v>
      </c>
      <c r="AJ160" s="762">
        <f t="shared" si="14"/>
        <v>70000</v>
      </c>
    </row>
    <row r="161" spans="1:36" ht="63.75">
      <c r="A161" s="207"/>
      <c r="B161" s="210"/>
      <c r="C161" s="199"/>
      <c r="D161" s="196" t="s">
        <v>407</v>
      </c>
      <c r="E161" s="210" t="s">
        <v>428</v>
      </c>
      <c r="F161" s="710"/>
      <c r="G161" s="711"/>
      <c r="H161" s="206"/>
      <c r="I161" s="207"/>
      <c r="J161" s="208"/>
      <c r="K161" s="205"/>
      <c r="L161" s="804"/>
      <c r="M161" s="804"/>
      <c r="N161" s="804"/>
      <c r="O161" s="804"/>
      <c r="P161" s="804"/>
      <c r="Q161" s="804"/>
      <c r="R161" s="804"/>
      <c r="S161" s="804"/>
      <c r="T161" s="804"/>
      <c r="U161" s="804"/>
      <c r="V161" s="804"/>
      <c r="W161" s="804"/>
      <c r="X161" s="804"/>
      <c r="Y161" s="804"/>
      <c r="Z161" s="804"/>
      <c r="AA161" s="804"/>
      <c r="AB161" s="804"/>
      <c r="AC161" s="804"/>
      <c r="AD161" s="804"/>
      <c r="AE161" s="804"/>
      <c r="AF161" s="804"/>
      <c r="AG161" s="804"/>
      <c r="AH161" s="804"/>
      <c r="AI161" s="804"/>
      <c r="AJ161" s="762">
        <f t="shared" si="14"/>
        <v>0</v>
      </c>
    </row>
    <row r="162" spans="1:36" ht="216.75">
      <c r="A162" s="207"/>
      <c r="B162" s="210"/>
      <c r="C162" s="199"/>
      <c r="D162" s="196" t="s">
        <v>407</v>
      </c>
      <c r="E162" s="210" t="s">
        <v>429</v>
      </c>
      <c r="F162" s="710"/>
      <c r="G162" s="711"/>
      <c r="H162" s="206"/>
      <c r="I162" s="207"/>
      <c r="J162" s="208"/>
      <c r="K162" s="205"/>
      <c r="L162" s="804"/>
      <c r="M162" s="804"/>
      <c r="N162" s="804"/>
      <c r="O162" s="804"/>
      <c r="P162" s="804"/>
      <c r="Q162" s="804"/>
      <c r="R162" s="804"/>
      <c r="S162" s="804"/>
      <c r="T162" s="804"/>
      <c r="U162" s="804"/>
      <c r="V162" s="804"/>
      <c r="W162" s="804"/>
      <c r="X162" s="804"/>
      <c r="Y162" s="804"/>
      <c r="Z162" s="804"/>
      <c r="AA162" s="804"/>
      <c r="AB162" s="804"/>
      <c r="AC162" s="804"/>
      <c r="AD162" s="804"/>
      <c r="AE162" s="804"/>
      <c r="AF162" s="804"/>
      <c r="AG162" s="804"/>
      <c r="AH162" s="804"/>
      <c r="AI162" s="804"/>
      <c r="AJ162" s="762">
        <f t="shared" si="14"/>
        <v>0</v>
      </c>
    </row>
    <row r="163" spans="1:36" ht="140.25">
      <c r="A163" s="207"/>
      <c r="B163" s="210"/>
      <c r="C163" s="199"/>
      <c r="D163" s="196" t="s">
        <v>407</v>
      </c>
      <c r="E163" s="210" t="s">
        <v>430</v>
      </c>
      <c r="F163" s="710"/>
      <c r="G163" s="711"/>
      <c r="H163" s="206"/>
      <c r="I163" s="207"/>
      <c r="J163" s="208"/>
      <c r="K163" s="205"/>
      <c r="L163" s="804"/>
      <c r="M163" s="804"/>
      <c r="N163" s="804"/>
      <c r="O163" s="804"/>
      <c r="P163" s="804"/>
      <c r="Q163" s="804"/>
      <c r="R163" s="804"/>
      <c r="S163" s="804"/>
      <c r="T163" s="804"/>
      <c r="U163" s="804"/>
      <c r="V163" s="804"/>
      <c r="W163" s="804"/>
      <c r="X163" s="804"/>
      <c r="Y163" s="804"/>
      <c r="Z163" s="804"/>
      <c r="AA163" s="804"/>
      <c r="AB163" s="804"/>
      <c r="AC163" s="804"/>
      <c r="AD163" s="804"/>
      <c r="AE163" s="804"/>
      <c r="AF163" s="804"/>
      <c r="AG163" s="804"/>
      <c r="AH163" s="804"/>
      <c r="AI163" s="804"/>
      <c r="AJ163" s="762">
        <f t="shared" si="14"/>
        <v>0</v>
      </c>
    </row>
    <row r="164" spans="1:36" ht="102">
      <c r="A164" s="207"/>
      <c r="B164" s="210"/>
      <c r="C164" s="199"/>
      <c r="D164" s="196" t="s">
        <v>407</v>
      </c>
      <c r="E164" s="210" t="s">
        <v>431</v>
      </c>
      <c r="F164" s="710"/>
      <c r="G164" s="711"/>
      <c r="H164" s="206"/>
      <c r="I164" s="207"/>
      <c r="J164" s="208"/>
      <c r="K164" s="205"/>
      <c r="L164" s="804"/>
      <c r="M164" s="804"/>
      <c r="N164" s="804"/>
      <c r="O164" s="804"/>
      <c r="P164" s="804"/>
      <c r="Q164" s="804"/>
      <c r="R164" s="804"/>
      <c r="S164" s="804"/>
      <c r="T164" s="804"/>
      <c r="U164" s="804"/>
      <c r="V164" s="804"/>
      <c r="W164" s="804"/>
      <c r="X164" s="804"/>
      <c r="Y164" s="804"/>
      <c r="Z164" s="804"/>
      <c r="AA164" s="804"/>
      <c r="AB164" s="804"/>
      <c r="AC164" s="804"/>
      <c r="AD164" s="804"/>
      <c r="AE164" s="804"/>
      <c r="AF164" s="804"/>
      <c r="AG164" s="804"/>
      <c r="AH164" s="804"/>
      <c r="AI164" s="804"/>
      <c r="AJ164" s="762">
        <f t="shared" si="14"/>
        <v>0</v>
      </c>
    </row>
    <row r="165" spans="1:36" ht="127.5">
      <c r="A165" s="207"/>
      <c r="B165" s="210"/>
      <c r="C165" s="199"/>
      <c r="D165" s="196" t="s">
        <v>407</v>
      </c>
      <c r="E165" s="210" t="s">
        <v>432</v>
      </c>
      <c r="F165" s="710"/>
      <c r="G165" s="711"/>
      <c r="H165" s="206"/>
      <c r="I165" s="207"/>
      <c r="J165" s="208"/>
      <c r="K165" s="205"/>
      <c r="L165" s="804"/>
      <c r="M165" s="804"/>
      <c r="N165" s="804"/>
      <c r="O165" s="804"/>
      <c r="P165" s="804"/>
      <c r="Q165" s="804"/>
      <c r="R165" s="804"/>
      <c r="S165" s="804"/>
      <c r="T165" s="804"/>
      <c r="U165" s="804"/>
      <c r="V165" s="804"/>
      <c r="W165" s="804"/>
      <c r="X165" s="804"/>
      <c r="Y165" s="804"/>
      <c r="Z165" s="804"/>
      <c r="AA165" s="804"/>
      <c r="AB165" s="804"/>
      <c r="AC165" s="804"/>
      <c r="AD165" s="804"/>
      <c r="AE165" s="804"/>
      <c r="AF165" s="804"/>
      <c r="AG165" s="804"/>
      <c r="AH165" s="804"/>
      <c r="AI165" s="804"/>
      <c r="AJ165" s="762">
        <f t="shared" si="14"/>
        <v>0</v>
      </c>
    </row>
    <row r="166" spans="1:36" ht="38.25">
      <c r="A166" s="207"/>
      <c r="B166" s="210"/>
      <c r="C166" s="202"/>
      <c r="D166" s="196" t="s">
        <v>407</v>
      </c>
      <c r="E166" s="210" t="s">
        <v>433</v>
      </c>
      <c r="F166" s="710"/>
      <c r="G166" s="711"/>
      <c r="H166" s="206"/>
      <c r="I166" s="207"/>
      <c r="J166" s="208"/>
      <c r="K166" s="205"/>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762">
        <f t="shared" si="14"/>
        <v>0</v>
      </c>
    </row>
    <row r="167" spans="1:36" ht="76.5">
      <c r="A167" s="207"/>
      <c r="B167" s="210"/>
      <c r="C167" s="210"/>
      <c r="D167" s="196" t="s">
        <v>407</v>
      </c>
      <c r="E167" s="214" t="s">
        <v>434</v>
      </c>
      <c r="F167" s="710"/>
      <c r="G167" s="711"/>
      <c r="H167" s="206"/>
      <c r="I167" s="207"/>
      <c r="J167" s="208"/>
      <c r="K167" s="205"/>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762">
        <f t="shared" si="14"/>
        <v>0</v>
      </c>
    </row>
    <row r="168" spans="1:36" ht="140.25">
      <c r="A168" s="213" t="s">
        <v>684</v>
      </c>
      <c r="B168" s="199"/>
      <c r="C168" s="199"/>
      <c r="D168" s="196" t="s">
        <v>407</v>
      </c>
      <c r="E168" s="210" t="s">
        <v>435</v>
      </c>
      <c r="F168" s="205" t="s">
        <v>719</v>
      </c>
      <c r="G168" s="490" t="s">
        <v>699</v>
      </c>
      <c r="H168" s="206"/>
      <c r="I168" s="207"/>
      <c r="J168" s="208"/>
      <c r="K168" s="205"/>
      <c r="L168" s="807">
        <v>83333</v>
      </c>
      <c r="M168" s="802"/>
      <c r="N168" s="802"/>
      <c r="O168" s="802"/>
      <c r="P168" s="802"/>
      <c r="Q168" s="806">
        <f>SUM(L168:P168)</f>
        <v>83333</v>
      </c>
      <c r="R168" s="807">
        <v>83333</v>
      </c>
      <c r="S168" s="802"/>
      <c r="T168" s="802"/>
      <c r="U168" s="802"/>
      <c r="V168" s="802"/>
      <c r="W168" s="806">
        <f>SUM(R168:V168)</f>
        <v>83333</v>
      </c>
      <c r="X168" s="807">
        <v>83333</v>
      </c>
      <c r="Y168" s="802"/>
      <c r="Z168" s="802"/>
      <c r="AA168" s="802"/>
      <c r="AB168" s="802"/>
      <c r="AC168" s="806">
        <f>SUM(X168:AB168)</f>
        <v>83333</v>
      </c>
      <c r="AD168" s="807">
        <v>83333</v>
      </c>
      <c r="AE168" s="802"/>
      <c r="AF168" s="802"/>
      <c r="AG168" s="802"/>
      <c r="AH168" s="802"/>
      <c r="AI168" s="803">
        <f>SUM(AD168:AH168)</f>
        <v>83333</v>
      </c>
      <c r="AJ168" s="762">
        <f t="shared" si="14"/>
        <v>333332</v>
      </c>
    </row>
    <row r="169" spans="1:36" ht="216.75">
      <c r="A169" s="207"/>
      <c r="B169" s="215"/>
      <c r="C169" s="202"/>
      <c r="D169" s="196" t="s">
        <v>407</v>
      </c>
      <c r="E169" s="210" t="s">
        <v>436</v>
      </c>
      <c r="F169" s="710"/>
      <c r="G169" s="711"/>
      <c r="H169" s="206"/>
      <c r="I169" s="207"/>
      <c r="J169" s="208"/>
      <c r="K169" s="205"/>
      <c r="L169" s="804"/>
      <c r="M169" s="804"/>
      <c r="N169" s="804"/>
      <c r="O169" s="804"/>
      <c r="P169" s="804"/>
      <c r="Q169" s="804"/>
      <c r="R169" s="804"/>
      <c r="S169" s="804"/>
      <c r="T169" s="804"/>
      <c r="U169" s="804"/>
      <c r="V169" s="804"/>
      <c r="W169" s="804"/>
      <c r="X169" s="804"/>
      <c r="Y169" s="804"/>
      <c r="Z169" s="804"/>
      <c r="AA169" s="804"/>
      <c r="AB169" s="804"/>
      <c r="AC169" s="804"/>
      <c r="AD169" s="804"/>
      <c r="AE169" s="804"/>
      <c r="AF169" s="804"/>
      <c r="AG169" s="804"/>
      <c r="AH169" s="804"/>
      <c r="AI169" s="804"/>
      <c r="AJ169" s="762">
        <f t="shared" si="14"/>
        <v>0</v>
      </c>
    </row>
    <row r="170" spans="1:36" ht="165.75">
      <c r="A170" s="207"/>
      <c r="B170" s="210"/>
      <c r="C170" s="210"/>
      <c r="D170" s="196" t="s">
        <v>407</v>
      </c>
      <c r="E170" s="210" t="s">
        <v>437</v>
      </c>
      <c r="F170" s="710"/>
      <c r="G170" s="711"/>
      <c r="H170" s="206"/>
      <c r="I170" s="207"/>
      <c r="J170" s="208"/>
      <c r="K170" s="205"/>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762">
        <f t="shared" si="14"/>
        <v>0</v>
      </c>
    </row>
    <row r="171" spans="1:36" ht="140.25">
      <c r="A171" s="207"/>
      <c r="B171" s="202"/>
      <c r="C171" s="199"/>
      <c r="D171" s="196" t="s">
        <v>407</v>
      </c>
      <c r="E171" s="210" t="s">
        <v>438</v>
      </c>
      <c r="F171" s="710"/>
      <c r="G171" s="711"/>
      <c r="H171" s="206"/>
      <c r="I171" s="207"/>
      <c r="J171" s="208"/>
      <c r="K171" s="205"/>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762">
        <f t="shared" si="14"/>
        <v>0</v>
      </c>
    </row>
    <row r="172" spans="1:36" ht="89.25">
      <c r="A172" s="207"/>
      <c r="B172" s="212"/>
      <c r="C172" s="199"/>
      <c r="D172" s="196" t="s">
        <v>407</v>
      </c>
      <c r="E172" s="210" t="s">
        <v>439</v>
      </c>
      <c r="F172" s="710"/>
      <c r="G172" s="711"/>
      <c r="H172" s="206"/>
      <c r="I172" s="207"/>
      <c r="J172" s="208"/>
      <c r="K172" s="205"/>
      <c r="L172" s="804"/>
      <c r="M172" s="804"/>
      <c r="N172" s="804"/>
      <c r="O172" s="804"/>
      <c r="P172" s="804"/>
      <c r="Q172" s="804"/>
      <c r="R172" s="804"/>
      <c r="S172" s="804"/>
      <c r="T172" s="804"/>
      <c r="U172" s="804"/>
      <c r="V172" s="804"/>
      <c r="W172" s="804"/>
      <c r="X172" s="804"/>
      <c r="Y172" s="804"/>
      <c r="Z172" s="804"/>
      <c r="AA172" s="804"/>
      <c r="AB172" s="804"/>
      <c r="AC172" s="804"/>
      <c r="AD172" s="804"/>
      <c r="AE172" s="804"/>
      <c r="AF172" s="804"/>
      <c r="AG172" s="804"/>
      <c r="AH172" s="804"/>
      <c r="AI172" s="804"/>
      <c r="AJ172" s="762">
        <f t="shared" si="14"/>
        <v>0</v>
      </c>
    </row>
    <row r="173" spans="1:36" ht="204">
      <c r="A173" s="207"/>
      <c r="B173" s="212"/>
      <c r="C173" s="199"/>
      <c r="D173" s="196" t="s">
        <v>407</v>
      </c>
      <c r="E173" s="210" t="s">
        <v>440</v>
      </c>
      <c r="F173" s="710"/>
      <c r="G173" s="711"/>
      <c r="H173" s="206"/>
      <c r="I173" s="207"/>
      <c r="J173" s="208"/>
      <c r="K173" s="205"/>
      <c r="L173" s="804"/>
      <c r="M173" s="804"/>
      <c r="N173" s="804"/>
      <c r="O173" s="804"/>
      <c r="P173" s="804"/>
      <c r="Q173" s="804"/>
      <c r="R173" s="804"/>
      <c r="S173" s="804"/>
      <c r="T173" s="804"/>
      <c r="U173" s="804"/>
      <c r="V173" s="804"/>
      <c r="W173" s="804"/>
      <c r="X173" s="804"/>
      <c r="Y173" s="804"/>
      <c r="Z173" s="804"/>
      <c r="AA173" s="804"/>
      <c r="AB173" s="804"/>
      <c r="AC173" s="804"/>
      <c r="AD173" s="804"/>
      <c r="AE173" s="804"/>
      <c r="AF173" s="804"/>
      <c r="AG173" s="804"/>
      <c r="AH173" s="804"/>
      <c r="AI173" s="804"/>
      <c r="AJ173" s="762">
        <f t="shared" si="14"/>
        <v>0</v>
      </c>
    </row>
    <row r="174" spans="1:36" ht="76.5">
      <c r="A174" s="207"/>
      <c r="B174" s="210"/>
      <c r="C174" s="210"/>
      <c r="D174" s="196" t="s">
        <v>407</v>
      </c>
      <c r="E174" s="210" t="s">
        <v>441</v>
      </c>
      <c r="F174" s="710"/>
      <c r="G174" s="711"/>
      <c r="H174" s="206"/>
      <c r="I174" s="207"/>
      <c r="J174" s="208"/>
      <c r="K174" s="205"/>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762">
        <f t="shared" si="14"/>
        <v>0</v>
      </c>
    </row>
    <row r="175" spans="1:36" ht="89.25">
      <c r="A175" s="201" t="s">
        <v>685</v>
      </c>
      <c r="B175" s="199"/>
      <c r="C175" s="199"/>
      <c r="D175" s="196" t="s">
        <v>407</v>
      </c>
      <c r="E175" s="210" t="s">
        <v>442</v>
      </c>
      <c r="F175" s="205" t="s">
        <v>719</v>
      </c>
      <c r="G175" s="490" t="s">
        <v>699</v>
      </c>
      <c r="H175" s="206"/>
      <c r="I175" s="207"/>
      <c r="J175" s="208"/>
      <c r="K175" s="205"/>
      <c r="L175" s="805">
        <v>6666</v>
      </c>
      <c r="M175" s="802"/>
      <c r="N175" s="802"/>
      <c r="O175" s="802"/>
      <c r="P175" s="802"/>
      <c r="Q175" s="806">
        <f>SUM(L175:P175)</f>
        <v>6666</v>
      </c>
      <c r="R175" s="805">
        <v>6666</v>
      </c>
      <c r="S175" s="802"/>
      <c r="T175" s="802"/>
      <c r="U175" s="802"/>
      <c r="V175" s="802"/>
      <c r="W175" s="806">
        <f>SUM(R175:V175)</f>
        <v>6666</v>
      </c>
      <c r="X175" s="805">
        <v>6666</v>
      </c>
      <c r="Y175" s="802"/>
      <c r="Z175" s="802"/>
      <c r="AA175" s="802"/>
      <c r="AB175" s="802"/>
      <c r="AC175" s="806">
        <f>SUM(X175:AB175)</f>
        <v>6666</v>
      </c>
      <c r="AD175" s="805">
        <v>6666</v>
      </c>
      <c r="AE175" s="802"/>
      <c r="AF175" s="802"/>
      <c r="AG175" s="802"/>
      <c r="AH175" s="802"/>
      <c r="AI175" s="803">
        <f>SUM(AD175:AH175)</f>
        <v>6666</v>
      </c>
      <c r="AJ175" s="762">
        <f t="shared" si="14"/>
        <v>26664</v>
      </c>
    </row>
    <row r="176" spans="1:36" ht="89.25">
      <c r="A176" s="201"/>
      <c r="B176" s="203"/>
      <c r="C176" s="199"/>
      <c r="D176" s="196" t="s">
        <v>407</v>
      </c>
      <c r="E176" s="210" t="s">
        <v>443</v>
      </c>
      <c r="F176" s="710"/>
      <c r="G176" s="711"/>
      <c r="H176" s="206"/>
      <c r="I176" s="207"/>
      <c r="J176" s="208"/>
      <c r="K176" s="205"/>
      <c r="L176" s="804"/>
      <c r="M176" s="804"/>
      <c r="N176" s="804"/>
      <c r="O176" s="804"/>
      <c r="P176" s="804"/>
      <c r="Q176" s="804"/>
      <c r="R176" s="804"/>
      <c r="S176" s="804"/>
      <c r="T176" s="804"/>
      <c r="U176" s="804"/>
      <c r="V176" s="804"/>
      <c r="W176" s="804"/>
      <c r="X176" s="804"/>
      <c r="Y176" s="804"/>
      <c r="Z176" s="804"/>
      <c r="AA176" s="804"/>
      <c r="AB176" s="804"/>
      <c r="AC176" s="804"/>
      <c r="AD176" s="804"/>
      <c r="AE176" s="804"/>
      <c r="AF176" s="804"/>
      <c r="AG176" s="804"/>
      <c r="AH176" s="804"/>
      <c r="AI176" s="804"/>
      <c r="AJ176" s="762">
        <f t="shared" si="14"/>
        <v>0</v>
      </c>
    </row>
    <row r="177" spans="1:36" ht="255">
      <c r="A177" s="207"/>
      <c r="B177" s="200"/>
      <c r="C177" s="199"/>
      <c r="D177" s="196" t="s">
        <v>407</v>
      </c>
      <c r="E177" s="210" t="s">
        <v>569</v>
      </c>
      <c r="F177" s="710"/>
      <c r="G177" s="711"/>
      <c r="H177" s="206"/>
      <c r="I177" s="207"/>
      <c r="J177" s="208"/>
      <c r="K177" s="205"/>
      <c r="L177" s="804"/>
      <c r="M177" s="804"/>
      <c r="N177" s="804"/>
      <c r="O177" s="804"/>
      <c r="P177" s="804"/>
      <c r="Q177" s="804"/>
      <c r="R177" s="804"/>
      <c r="S177" s="804"/>
      <c r="T177" s="804"/>
      <c r="U177" s="804"/>
      <c r="V177" s="804"/>
      <c r="W177" s="804"/>
      <c r="X177" s="804"/>
      <c r="Y177" s="804"/>
      <c r="Z177" s="804"/>
      <c r="AA177" s="804"/>
      <c r="AB177" s="804"/>
      <c r="AC177" s="804"/>
      <c r="AD177" s="804"/>
      <c r="AE177" s="804"/>
      <c r="AF177" s="804"/>
      <c r="AG177" s="804"/>
      <c r="AH177" s="804"/>
      <c r="AI177" s="804"/>
      <c r="AJ177" s="762">
        <f t="shared" si="14"/>
        <v>0</v>
      </c>
    </row>
    <row r="178" spans="1:36" ht="153">
      <c r="A178" s="207"/>
      <c r="B178" s="216"/>
      <c r="C178" s="210"/>
      <c r="D178" s="196" t="s">
        <v>407</v>
      </c>
      <c r="E178" s="210" t="s">
        <v>444</v>
      </c>
      <c r="F178" s="710"/>
      <c r="G178" s="711"/>
      <c r="H178" s="206"/>
      <c r="I178" s="207"/>
      <c r="J178" s="208"/>
      <c r="K178" s="205"/>
      <c r="L178" s="804"/>
      <c r="M178" s="804"/>
      <c r="N178" s="804"/>
      <c r="O178" s="804"/>
      <c r="P178" s="804"/>
      <c r="Q178" s="804"/>
      <c r="R178" s="804"/>
      <c r="S178" s="804"/>
      <c r="T178" s="804"/>
      <c r="U178" s="804"/>
      <c r="V178" s="804"/>
      <c r="W178" s="804"/>
      <c r="X178" s="804"/>
      <c r="Y178" s="804"/>
      <c r="Z178" s="804"/>
      <c r="AA178" s="804"/>
      <c r="AB178" s="804"/>
      <c r="AC178" s="804"/>
      <c r="AD178" s="804"/>
      <c r="AE178" s="804"/>
      <c r="AF178" s="804"/>
      <c r="AG178" s="804"/>
      <c r="AH178" s="804"/>
      <c r="AI178" s="804"/>
      <c r="AJ178" s="762">
        <f t="shared" si="14"/>
        <v>0</v>
      </c>
    </row>
    <row r="179" spans="1:36" ht="102">
      <c r="A179" s="201" t="s">
        <v>686</v>
      </c>
      <c r="B179" s="202"/>
      <c r="C179" s="199"/>
      <c r="D179" s="196" t="s">
        <v>407</v>
      </c>
      <c r="E179" s="210" t="s">
        <v>445</v>
      </c>
      <c r="F179" s="205" t="s">
        <v>719</v>
      </c>
      <c r="G179" s="490" t="s">
        <v>699</v>
      </c>
      <c r="H179" s="206"/>
      <c r="I179" s="207"/>
      <c r="J179" s="208"/>
      <c r="K179" s="205"/>
      <c r="L179" s="805">
        <v>6666</v>
      </c>
      <c r="M179" s="802"/>
      <c r="N179" s="802"/>
      <c r="O179" s="802"/>
      <c r="P179" s="802"/>
      <c r="Q179" s="806">
        <f>SUM(L179:P179)</f>
        <v>6666</v>
      </c>
      <c r="R179" s="805">
        <v>6666</v>
      </c>
      <c r="S179" s="802"/>
      <c r="T179" s="802"/>
      <c r="U179" s="802"/>
      <c r="V179" s="802"/>
      <c r="W179" s="806">
        <f>SUM(R179:V179)</f>
        <v>6666</v>
      </c>
      <c r="X179" s="805">
        <v>6666</v>
      </c>
      <c r="Y179" s="802"/>
      <c r="Z179" s="802"/>
      <c r="AA179" s="802"/>
      <c r="AB179" s="802"/>
      <c r="AC179" s="806">
        <f>SUM(X179:AB179)</f>
        <v>6666</v>
      </c>
      <c r="AD179" s="805">
        <v>6666</v>
      </c>
      <c r="AE179" s="802"/>
      <c r="AF179" s="802"/>
      <c r="AG179" s="802"/>
      <c r="AH179" s="802"/>
      <c r="AI179" s="803">
        <f>SUM(AD179:AH179)</f>
        <v>6666</v>
      </c>
      <c r="AJ179" s="762">
        <f t="shared" si="14"/>
        <v>26664</v>
      </c>
    </row>
    <row r="180" spans="1:36" ht="140.25">
      <c r="A180" s="207"/>
      <c r="B180" s="212"/>
      <c r="C180" s="199"/>
      <c r="D180" s="196" t="s">
        <v>407</v>
      </c>
      <c r="E180" s="210" t="s">
        <v>446</v>
      </c>
      <c r="F180" s="710"/>
      <c r="G180" s="711"/>
      <c r="H180" s="206"/>
      <c r="I180" s="207"/>
      <c r="J180" s="208"/>
      <c r="K180" s="205"/>
      <c r="L180" s="804"/>
      <c r="M180" s="804"/>
      <c r="N180" s="804"/>
      <c r="O180" s="804"/>
      <c r="P180" s="804"/>
      <c r="Q180" s="804"/>
      <c r="R180" s="804"/>
      <c r="S180" s="804"/>
      <c r="T180" s="804"/>
      <c r="U180" s="804"/>
      <c r="V180" s="804"/>
      <c r="W180" s="804"/>
      <c r="X180" s="804"/>
      <c r="Y180" s="804"/>
      <c r="Z180" s="804"/>
      <c r="AA180" s="804"/>
      <c r="AB180" s="804"/>
      <c r="AC180" s="804"/>
      <c r="AD180" s="804"/>
      <c r="AE180" s="804"/>
      <c r="AF180" s="804"/>
      <c r="AG180" s="804"/>
      <c r="AH180" s="804"/>
      <c r="AI180" s="804"/>
      <c r="AJ180" s="762">
        <f t="shared" si="14"/>
        <v>0</v>
      </c>
    </row>
    <row r="181" spans="1:36" ht="229.5">
      <c r="A181" s="217"/>
      <c r="B181" s="218"/>
      <c r="C181" s="199"/>
      <c r="D181" s="196" t="s">
        <v>407</v>
      </c>
      <c r="E181" s="210" t="s">
        <v>447</v>
      </c>
      <c r="F181" s="710"/>
      <c r="G181" s="711"/>
      <c r="H181" s="206"/>
      <c r="I181" s="207"/>
      <c r="J181" s="208"/>
      <c r="K181" s="205"/>
      <c r="L181" s="804"/>
      <c r="M181" s="804"/>
      <c r="N181" s="804"/>
      <c r="O181" s="804"/>
      <c r="P181" s="804"/>
      <c r="Q181" s="804"/>
      <c r="R181" s="804"/>
      <c r="S181" s="804"/>
      <c r="T181" s="804"/>
      <c r="U181" s="804"/>
      <c r="V181" s="804"/>
      <c r="W181" s="803">
        <f>SUM(R181:V181)</f>
        <v>0</v>
      </c>
      <c r="X181" s="804"/>
      <c r="Y181" s="804"/>
      <c r="Z181" s="804"/>
      <c r="AA181" s="804"/>
      <c r="AB181" s="804"/>
      <c r="AC181" s="804"/>
      <c r="AD181" s="804"/>
      <c r="AE181" s="804"/>
      <c r="AF181" s="804"/>
      <c r="AG181" s="804"/>
      <c r="AH181" s="804"/>
      <c r="AI181" s="804"/>
      <c r="AJ181" s="762">
        <f t="shared" si="14"/>
        <v>0</v>
      </c>
    </row>
    <row r="182" spans="1:36" ht="140.25">
      <c r="A182" s="219"/>
      <c r="B182" s="199"/>
      <c r="C182" s="199"/>
      <c r="D182" s="196" t="s">
        <v>407</v>
      </c>
      <c r="E182" s="210" t="s">
        <v>448</v>
      </c>
      <c r="F182" s="710"/>
      <c r="G182" s="711"/>
      <c r="H182" s="206"/>
      <c r="I182" s="207"/>
      <c r="J182" s="208"/>
      <c r="K182" s="205"/>
      <c r="L182" s="807">
        <v>389166</v>
      </c>
      <c r="M182" s="802"/>
      <c r="N182" s="802"/>
      <c r="O182" s="802"/>
      <c r="P182" s="802"/>
      <c r="Q182" s="806">
        <f>SUM(L182:P182)</f>
        <v>389166</v>
      </c>
      <c r="R182" s="808">
        <v>389166</v>
      </c>
      <c r="S182" s="809"/>
      <c r="T182" s="809"/>
      <c r="U182" s="809"/>
      <c r="V182" s="809"/>
      <c r="W182" s="806">
        <f>SUM(R182:V182)</f>
        <v>389166</v>
      </c>
      <c r="X182" s="807">
        <v>389166</v>
      </c>
      <c r="Y182" s="802"/>
      <c r="Z182" s="802"/>
      <c r="AA182" s="802"/>
      <c r="AB182" s="802"/>
      <c r="AC182" s="806">
        <f>SUM(X182:AB182)</f>
        <v>389166</v>
      </c>
      <c r="AD182" s="807">
        <v>389166</v>
      </c>
      <c r="AE182" s="802"/>
      <c r="AF182" s="802"/>
      <c r="AG182" s="802"/>
      <c r="AH182" s="802"/>
      <c r="AI182" s="803">
        <f>SUM(AD182:AH182)</f>
        <v>389166</v>
      </c>
      <c r="AJ182" s="762">
        <f t="shared" si="14"/>
        <v>1556664</v>
      </c>
    </row>
    <row r="183" spans="1:36" ht="114.75">
      <c r="A183" s="213" t="s">
        <v>687</v>
      </c>
      <c r="B183" s="202"/>
      <c r="C183" s="199"/>
      <c r="D183" s="196" t="s">
        <v>407</v>
      </c>
      <c r="E183" s="210" t="s">
        <v>449</v>
      </c>
      <c r="F183" s="220" t="s">
        <v>719</v>
      </c>
      <c r="G183" s="490" t="s">
        <v>699</v>
      </c>
      <c r="H183" s="221"/>
      <c r="I183" s="217"/>
      <c r="J183" s="222"/>
      <c r="K183" s="220"/>
      <c r="L183" s="810"/>
      <c r="M183" s="810"/>
      <c r="N183" s="810"/>
      <c r="O183" s="810"/>
      <c r="P183" s="810"/>
      <c r="Q183" s="810"/>
      <c r="R183" s="810"/>
      <c r="S183" s="810"/>
      <c r="T183" s="810"/>
      <c r="U183" s="810"/>
      <c r="V183" s="810"/>
      <c r="W183" s="810"/>
      <c r="X183" s="810"/>
      <c r="Y183" s="810"/>
      <c r="Z183" s="810"/>
      <c r="AA183" s="810"/>
      <c r="AB183" s="810"/>
      <c r="AC183" s="810"/>
      <c r="AD183" s="804"/>
      <c r="AE183" s="804"/>
      <c r="AF183" s="804"/>
      <c r="AG183" s="804"/>
      <c r="AH183" s="804"/>
      <c r="AI183" s="804"/>
      <c r="AJ183" s="762">
        <f t="shared" si="14"/>
        <v>0</v>
      </c>
    </row>
    <row r="184" spans="1:36" ht="51">
      <c r="A184" s="223"/>
      <c r="B184" s="224"/>
      <c r="C184" s="225"/>
      <c r="D184" s="196" t="s">
        <v>407</v>
      </c>
      <c r="E184" s="210" t="s">
        <v>450</v>
      </c>
      <c r="F184" s="712"/>
      <c r="G184" s="711"/>
      <c r="H184" s="220"/>
      <c r="I184" s="220"/>
      <c r="J184" s="220"/>
      <c r="K184" s="220"/>
      <c r="L184" s="810"/>
      <c r="M184" s="810"/>
      <c r="N184" s="810"/>
      <c r="O184" s="810"/>
      <c r="P184" s="810"/>
      <c r="Q184" s="810"/>
      <c r="R184" s="810"/>
      <c r="S184" s="810"/>
      <c r="T184" s="810"/>
      <c r="U184" s="810"/>
      <c r="V184" s="810"/>
      <c r="W184" s="810"/>
      <c r="X184" s="810"/>
      <c r="Y184" s="810"/>
      <c r="Z184" s="810"/>
      <c r="AA184" s="810"/>
      <c r="AB184" s="810"/>
      <c r="AC184" s="810"/>
      <c r="AD184" s="810"/>
      <c r="AE184" s="810"/>
      <c r="AF184" s="810"/>
      <c r="AG184" s="810"/>
      <c r="AH184" s="810"/>
      <c r="AI184" s="810"/>
      <c r="AJ184" s="762">
        <f t="shared" si="14"/>
        <v>0</v>
      </c>
    </row>
    <row r="185" spans="1:36" ht="204.75" thickBot="1">
      <c r="A185" s="226"/>
      <c r="B185" s="197"/>
      <c r="C185" s="197"/>
      <c r="D185" s="196" t="s">
        <v>407</v>
      </c>
      <c r="E185" s="227" t="s">
        <v>451</v>
      </c>
      <c r="F185" s="713"/>
      <c r="G185" s="711"/>
      <c r="H185" s="197"/>
      <c r="I185" s="197"/>
      <c r="J185" s="197"/>
      <c r="K185" s="197"/>
      <c r="L185" s="811"/>
      <c r="M185" s="811"/>
      <c r="N185" s="811"/>
      <c r="O185" s="811"/>
      <c r="P185" s="811"/>
      <c r="Q185" s="811"/>
      <c r="R185" s="811"/>
      <c r="S185" s="811"/>
      <c r="T185" s="811"/>
      <c r="U185" s="811"/>
      <c r="V185" s="811"/>
      <c r="W185" s="811"/>
      <c r="X185" s="811"/>
      <c r="Y185" s="811"/>
      <c r="Z185" s="811"/>
      <c r="AA185" s="811"/>
      <c r="AB185" s="811"/>
      <c r="AC185" s="811"/>
      <c r="AD185" s="811"/>
      <c r="AE185" s="811"/>
      <c r="AF185" s="811"/>
      <c r="AG185" s="811"/>
      <c r="AH185" s="811"/>
      <c r="AI185" s="811"/>
      <c r="AJ185" s="762">
        <f t="shared" si="14"/>
        <v>0</v>
      </c>
    </row>
    <row r="186" spans="1:36">
      <c r="A186" s="26" t="s">
        <v>276</v>
      </c>
      <c r="B186" s="26"/>
      <c r="C186" s="26"/>
      <c r="D186" s="168"/>
      <c r="E186" s="168"/>
      <c r="F186" s="168"/>
      <c r="G186" s="169"/>
      <c r="H186" s="169"/>
      <c r="I186" s="169"/>
      <c r="J186" s="169"/>
      <c r="K186" s="172"/>
      <c r="L186" s="102"/>
      <c r="M186" s="102"/>
      <c r="N186" s="102"/>
      <c r="O186" s="102"/>
      <c r="P186" s="102"/>
      <c r="Q186" s="366">
        <v>583295</v>
      </c>
      <c r="R186" s="102"/>
      <c r="S186" s="102"/>
      <c r="T186" s="102"/>
      <c r="U186" s="102"/>
      <c r="V186" s="102"/>
      <c r="W186" s="366">
        <v>583295</v>
      </c>
      <c r="X186" s="102"/>
      <c r="Y186" s="102"/>
      <c r="Z186" s="102"/>
      <c r="AA186" s="102"/>
      <c r="AB186" s="102"/>
      <c r="AC186" s="366">
        <v>583295</v>
      </c>
      <c r="AD186" s="102"/>
      <c r="AE186" s="102"/>
      <c r="AF186" s="102"/>
      <c r="AG186" s="102"/>
      <c r="AH186" s="102"/>
      <c r="AI186" s="373">
        <v>583295</v>
      </c>
      <c r="AJ186" s="774">
        <v>2333180</v>
      </c>
    </row>
    <row r="187" spans="1:36">
      <c r="A187" s="103"/>
      <c r="B187" s="103"/>
      <c r="C187" s="103"/>
      <c r="D187" s="415"/>
      <c r="E187" s="415"/>
      <c r="F187" s="415"/>
      <c r="G187" s="416"/>
      <c r="H187" s="416"/>
      <c r="I187" s="416"/>
      <c r="J187" s="416"/>
      <c r="K187" s="295"/>
      <c r="L187" s="423">
        <f>SUM(L141:L185)</f>
        <v>583328</v>
      </c>
      <c r="M187" s="423">
        <f t="shared" ref="M187:AI187" si="15">SUM(M141:M185)</f>
        <v>0</v>
      </c>
      <c r="N187" s="423">
        <f t="shared" si="15"/>
        <v>0</v>
      </c>
      <c r="O187" s="423">
        <f t="shared" si="15"/>
        <v>0</v>
      </c>
      <c r="P187" s="423">
        <f t="shared" si="15"/>
        <v>0</v>
      </c>
      <c r="Q187" s="423">
        <f>SUM(Q141:Q185)</f>
        <v>583328</v>
      </c>
      <c r="R187" s="423">
        <f>SUM(R141:R185)</f>
        <v>583328</v>
      </c>
      <c r="S187" s="423">
        <f t="shared" si="15"/>
        <v>0</v>
      </c>
      <c r="T187" s="423">
        <f t="shared" si="15"/>
        <v>0</v>
      </c>
      <c r="U187" s="423">
        <f t="shared" si="15"/>
        <v>0</v>
      </c>
      <c r="V187" s="423">
        <f t="shared" si="15"/>
        <v>0</v>
      </c>
      <c r="W187" s="423">
        <f t="shared" si="15"/>
        <v>583328</v>
      </c>
      <c r="X187" s="423">
        <f>SUM(X141:X185)</f>
        <v>583328</v>
      </c>
      <c r="Y187" s="423">
        <f t="shared" si="15"/>
        <v>0</v>
      </c>
      <c r="Z187" s="423">
        <f t="shared" si="15"/>
        <v>0</v>
      </c>
      <c r="AA187" s="423">
        <f t="shared" si="15"/>
        <v>0</v>
      </c>
      <c r="AB187" s="423">
        <f t="shared" si="15"/>
        <v>0</v>
      </c>
      <c r="AC187" s="423">
        <f t="shared" si="15"/>
        <v>583328</v>
      </c>
      <c r="AD187" s="423">
        <f>SUM(AD141:AD185)</f>
        <v>583328</v>
      </c>
      <c r="AE187" s="423">
        <f t="shared" si="15"/>
        <v>0</v>
      </c>
      <c r="AF187" s="423">
        <f t="shared" si="15"/>
        <v>0</v>
      </c>
      <c r="AG187" s="423">
        <f t="shared" si="15"/>
        <v>0</v>
      </c>
      <c r="AH187" s="423">
        <f t="shared" si="15"/>
        <v>0</v>
      </c>
      <c r="AI187" s="423">
        <f t="shared" si="15"/>
        <v>583328</v>
      </c>
      <c r="AJ187" s="775">
        <f>SUM(AI187+AC187+W187+Q187)</f>
        <v>2333312</v>
      </c>
    </row>
    <row r="188" spans="1:36">
      <c r="A188" s="137"/>
      <c r="B188" s="137"/>
      <c r="C188" s="137"/>
      <c r="D188" s="137"/>
      <c r="E188" s="137"/>
      <c r="F188" s="137">
        <v>42</v>
      </c>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J188" s="757"/>
    </row>
    <row r="189" spans="1:36">
      <c r="A189" s="138" t="s">
        <v>399</v>
      </c>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J189" s="757"/>
    </row>
    <row r="190" spans="1:36">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J190" s="757"/>
    </row>
    <row r="191" spans="1:36">
      <c r="A191" s="479"/>
      <c r="B191" s="468"/>
      <c r="C191" s="468"/>
      <c r="D191" s="1100" t="s">
        <v>0</v>
      </c>
      <c r="E191" s="1100" t="s">
        <v>340</v>
      </c>
      <c r="F191" s="1107" t="s">
        <v>5</v>
      </c>
      <c r="G191" s="1107"/>
      <c r="H191" s="1100" t="s">
        <v>22</v>
      </c>
      <c r="I191" s="1100" t="s">
        <v>211</v>
      </c>
      <c r="J191" s="1100" t="s">
        <v>212</v>
      </c>
      <c r="K191" s="1100" t="s">
        <v>213</v>
      </c>
      <c r="L191" s="1072" t="s">
        <v>214</v>
      </c>
      <c r="M191" s="1072"/>
      <c r="N191" s="1072"/>
      <c r="O191" s="1072"/>
      <c r="P191" s="1072"/>
      <c r="Q191" s="1072"/>
      <c r="R191" s="1072"/>
      <c r="S191" s="1072"/>
      <c r="T191" s="1072"/>
      <c r="U191" s="1072"/>
      <c r="V191" s="1072"/>
      <c r="W191" s="1072"/>
      <c r="X191" s="1072"/>
      <c r="Y191" s="1072"/>
      <c r="Z191" s="1072"/>
      <c r="AA191" s="1072"/>
      <c r="AB191" s="1072"/>
      <c r="AC191" s="1072"/>
      <c r="AD191" s="1072"/>
      <c r="AE191" s="1072"/>
      <c r="AF191" s="1072"/>
      <c r="AG191" s="1072"/>
      <c r="AH191" s="1072"/>
      <c r="AI191" s="344"/>
      <c r="AJ191" s="772"/>
    </row>
    <row r="192" spans="1:36" ht="38.25">
      <c r="A192" s="1103" t="s">
        <v>341</v>
      </c>
      <c r="B192" s="468" t="s">
        <v>215</v>
      </c>
      <c r="C192" s="468" t="s">
        <v>279</v>
      </c>
      <c r="D192" s="1100"/>
      <c r="E192" s="1106"/>
      <c r="F192" s="1105" t="s">
        <v>217</v>
      </c>
      <c r="G192" s="1105" t="s">
        <v>6</v>
      </c>
      <c r="H192" s="1100"/>
      <c r="I192" s="1100"/>
      <c r="J192" s="1100"/>
      <c r="K192" s="1100"/>
      <c r="L192" s="1071" t="s">
        <v>12</v>
      </c>
      <c r="M192" s="1072"/>
      <c r="N192" s="1072"/>
      <c r="O192" s="1072"/>
      <c r="P192" s="1072"/>
      <c r="Q192" s="1072"/>
      <c r="R192" s="1071" t="s">
        <v>13</v>
      </c>
      <c r="S192" s="1072"/>
      <c r="T192" s="1072"/>
      <c r="U192" s="1072"/>
      <c r="V192" s="1072"/>
      <c r="W192" s="1072"/>
      <c r="X192" s="1071" t="s">
        <v>14</v>
      </c>
      <c r="Y192" s="1072"/>
      <c r="Z192" s="1072"/>
      <c r="AA192" s="1072"/>
      <c r="AB192" s="1072"/>
      <c r="AC192" s="1072"/>
      <c r="AD192" s="1071" t="s">
        <v>15</v>
      </c>
      <c r="AE192" s="1072"/>
      <c r="AF192" s="1072"/>
      <c r="AG192" s="1072"/>
      <c r="AH192" s="1072"/>
      <c r="AI192" s="345"/>
      <c r="AJ192" s="762"/>
    </row>
    <row r="193" spans="1:36" ht="30">
      <c r="A193" s="1104"/>
      <c r="B193" s="468"/>
      <c r="C193" s="468"/>
      <c r="D193" s="1100"/>
      <c r="E193" s="1106"/>
      <c r="F193" s="1105"/>
      <c r="G193" s="1105"/>
      <c r="H193" s="1100"/>
      <c r="I193" s="1100"/>
      <c r="J193" s="1100"/>
      <c r="K193" s="1100"/>
      <c r="L193" s="467" t="s">
        <v>1</v>
      </c>
      <c r="M193" s="467" t="s">
        <v>9</v>
      </c>
      <c r="N193" s="467" t="s">
        <v>218</v>
      </c>
      <c r="O193" s="140" t="s">
        <v>17</v>
      </c>
      <c r="P193" s="140" t="s">
        <v>19</v>
      </c>
      <c r="Q193" s="140" t="s">
        <v>4</v>
      </c>
      <c r="R193" s="467" t="s">
        <v>1</v>
      </c>
      <c r="S193" s="467" t="s">
        <v>2</v>
      </c>
      <c r="T193" s="467" t="s">
        <v>219</v>
      </c>
      <c r="U193" s="467" t="s">
        <v>17</v>
      </c>
      <c r="V193" s="467" t="s">
        <v>19</v>
      </c>
      <c r="W193" s="467" t="s">
        <v>4</v>
      </c>
      <c r="X193" s="467" t="s">
        <v>1</v>
      </c>
      <c r="Y193" s="467" t="s">
        <v>9</v>
      </c>
      <c r="Z193" s="467" t="s">
        <v>218</v>
      </c>
      <c r="AA193" s="140" t="s">
        <v>17</v>
      </c>
      <c r="AB193" s="140" t="s">
        <v>19</v>
      </c>
      <c r="AC193" s="140" t="s">
        <v>4</v>
      </c>
      <c r="AD193" s="467" t="s">
        <v>1</v>
      </c>
      <c r="AE193" s="467" t="s">
        <v>9</v>
      </c>
      <c r="AF193" s="467" t="s">
        <v>219</v>
      </c>
      <c r="AG193" s="140" t="s">
        <v>17</v>
      </c>
      <c r="AH193" s="140" t="s">
        <v>19</v>
      </c>
      <c r="AI193" s="346" t="s">
        <v>688</v>
      </c>
      <c r="AJ193" s="776" t="s">
        <v>689</v>
      </c>
    </row>
    <row r="194" spans="1:36">
      <c r="A194" s="141" t="s">
        <v>33</v>
      </c>
      <c r="B194" s="141" t="s">
        <v>34</v>
      </c>
      <c r="C194" s="141" t="s">
        <v>45</v>
      </c>
      <c r="D194" s="141" t="s">
        <v>35</v>
      </c>
      <c r="E194" s="141" t="s">
        <v>36</v>
      </c>
      <c r="F194" s="141" t="s">
        <v>37</v>
      </c>
      <c r="G194" s="141" t="s">
        <v>38</v>
      </c>
      <c r="H194" s="229" t="s">
        <v>39</v>
      </c>
      <c r="I194" s="141" t="s">
        <v>40</v>
      </c>
      <c r="J194" s="143" t="s">
        <v>41</v>
      </c>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342"/>
      <c r="AJ194" s="762"/>
    </row>
    <row r="195" spans="1:36">
      <c r="A195" s="1101" t="s">
        <v>397</v>
      </c>
      <c r="B195" s="1102"/>
      <c r="C195" s="1102"/>
      <c r="D195" s="1102"/>
      <c r="E195" s="1102"/>
      <c r="F195" s="144"/>
      <c r="G195" s="145"/>
      <c r="H195" s="230"/>
      <c r="I195" s="145"/>
      <c r="J195" s="147"/>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342"/>
      <c r="AJ195" s="762"/>
    </row>
    <row r="196" spans="1:36">
      <c r="A196" s="1075" t="s">
        <v>401</v>
      </c>
      <c r="B196" s="1076"/>
      <c r="C196" s="1076"/>
      <c r="D196" s="1076"/>
      <c r="E196" s="1076"/>
      <c r="F196" s="148"/>
      <c r="G196" s="149"/>
      <c r="H196" s="232"/>
      <c r="I196" s="149"/>
      <c r="J196" s="151"/>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342"/>
      <c r="AJ196" s="762"/>
    </row>
    <row r="197" spans="1:36">
      <c r="A197" s="1075" t="s">
        <v>456</v>
      </c>
      <c r="B197" s="1076"/>
      <c r="C197" s="1076"/>
      <c r="D197" s="1076"/>
      <c r="E197" s="1076"/>
      <c r="F197" s="1076"/>
      <c r="G197" s="1076"/>
      <c r="H197" s="1076"/>
      <c r="I197" s="1076"/>
      <c r="J197" s="1076"/>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342"/>
      <c r="AJ197" s="762"/>
    </row>
    <row r="198" spans="1:36">
      <c r="A198" s="1075" t="s">
        <v>403</v>
      </c>
      <c r="B198" s="1076"/>
      <c r="C198" s="1076"/>
      <c r="D198" s="1076"/>
      <c r="E198" s="148"/>
      <c r="F198" s="148"/>
      <c r="G198" s="149"/>
      <c r="H198" s="232"/>
      <c r="I198" s="149"/>
      <c r="J198" s="151"/>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342"/>
      <c r="AJ198" s="762"/>
    </row>
    <row r="199" spans="1:36" ht="76.5">
      <c r="A199" s="448" t="s">
        <v>468</v>
      </c>
      <c r="B199" s="149"/>
      <c r="C199" s="151"/>
      <c r="D199" s="233" t="s">
        <v>457</v>
      </c>
      <c r="E199" s="234" t="s">
        <v>458</v>
      </c>
      <c r="F199" s="707" t="s">
        <v>80</v>
      </c>
      <c r="G199" s="694" t="s">
        <v>80</v>
      </c>
      <c r="H199" s="235">
        <v>7</v>
      </c>
      <c r="I199" s="235">
        <v>5</v>
      </c>
      <c r="J199" s="151"/>
      <c r="K199" s="148"/>
      <c r="L199" s="150">
        <v>0</v>
      </c>
      <c r="M199" s="150"/>
      <c r="N199" s="150"/>
      <c r="O199" s="150"/>
      <c r="P199" s="150"/>
      <c r="Q199" s="797">
        <f>SUM(L199:P199)</f>
        <v>0</v>
      </c>
      <c r="R199" s="812">
        <v>167716.22</v>
      </c>
      <c r="S199" s="150"/>
      <c r="T199" s="150"/>
      <c r="U199" s="150"/>
      <c r="V199" s="150"/>
      <c r="W199" s="812">
        <v>167716.22</v>
      </c>
      <c r="X199" s="812">
        <v>167716.22</v>
      </c>
      <c r="Y199" s="150"/>
      <c r="Z199" s="150"/>
      <c r="AA199" s="150"/>
      <c r="AB199" s="150"/>
      <c r="AC199" s="812">
        <v>167716.22</v>
      </c>
      <c r="AD199" s="812">
        <v>298805.71999999997</v>
      </c>
      <c r="AE199" s="150"/>
      <c r="AF199" s="150"/>
      <c r="AG199" s="150"/>
      <c r="AH199" s="150"/>
      <c r="AI199" s="813">
        <f>SUM(AD199:AH199)</f>
        <v>298805.71999999997</v>
      </c>
      <c r="AJ199" s="762">
        <f>+Q199+W199+AC199+AI199</f>
        <v>634238.15999999992</v>
      </c>
    </row>
    <row r="200" spans="1:36" ht="63.75">
      <c r="A200" s="449"/>
      <c r="B200" s="237"/>
      <c r="C200" s="151"/>
      <c r="D200" s="233" t="s">
        <v>459</v>
      </c>
      <c r="E200" s="234" t="s">
        <v>460</v>
      </c>
      <c r="F200" s="707" t="s">
        <v>80</v>
      </c>
      <c r="G200" s="694" t="s">
        <v>80</v>
      </c>
      <c r="H200" s="235">
        <v>7</v>
      </c>
      <c r="I200" s="235">
        <v>5</v>
      </c>
      <c r="J200" s="151"/>
      <c r="K200" s="148"/>
      <c r="L200" s="812">
        <v>40181</v>
      </c>
      <c r="M200" s="150"/>
      <c r="N200" s="150"/>
      <c r="O200" s="150"/>
      <c r="P200" s="150"/>
      <c r="Q200" s="797">
        <f>SUM(L200:P200)</f>
        <v>40181</v>
      </c>
      <c r="R200" s="150">
        <v>0</v>
      </c>
      <c r="S200" s="150"/>
      <c r="T200" s="150"/>
      <c r="U200" s="150"/>
      <c r="V200" s="150"/>
      <c r="W200" s="797">
        <f t="shared" ref="W200:W210" si="16">SUM(R200:V200)</f>
        <v>0</v>
      </c>
      <c r="X200" s="150">
        <v>0</v>
      </c>
      <c r="Y200" s="150">
        <v>0</v>
      </c>
      <c r="Z200" s="150"/>
      <c r="AA200" s="150"/>
      <c r="AB200" s="150"/>
      <c r="AC200" s="150">
        <f t="shared" ref="AC200:AC211" si="17">SUM(X200:AB200)</f>
        <v>0</v>
      </c>
      <c r="AD200" s="150">
        <v>0</v>
      </c>
      <c r="AE200" s="150"/>
      <c r="AF200" s="150"/>
      <c r="AG200" s="150"/>
      <c r="AH200" s="150"/>
      <c r="AI200" s="813">
        <f t="shared" ref="AI200:AI211" si="18">SUM(AD200:AH200)</f>
        <v>0</v>
      </c>
      <c r="AJ200" s="762">
        <f t="shared" ref="AJ200:AJ211" si="19">+Q200+W200+AC200+AI200</f>
        <v>40181</v>
      </c>
    </row>
    <row r="201" spans="1:36" ht="76.5">
      <c r="A201" s="449"/>
      <c r="B201" s="237"/>
      <c r="C201" s="151"/>
      <c r="D201" s="233" t="s">
        <v>461</v>
      </c>
      <c r="E201" s="234" t="s">
        <v>462</v>
      </c>
      <c r="F201" s="707" t="s">
        <v>80</v>
      </c>
      <c r="G201" s="694" t="s">
        <v>80</v>
      </c>
      <c r="H201" s="235">
        <v>7</v>
      </c>
      <c r="I201" s="235">
        <v>5</v>
      </c>
      <c r="J201" s="151"/>
      <c r="K201" s="148"/>
      <c r="L201" s="150"/>
      <c r="M201" s="150"/>
      <c r="N201" s="150"/>
      <c r="O201" s="150"/>
      <c r="P201" s="150"/>
      <c r="Q201" s="797">
        <f t="shared" ref="Q201:Q211" si="20">SUM(L201:P201)</f>
        <v>0</v>
      </c>
      <c r="R201" s="812">
        <f>17395+25483</f>
        <v>42878</v>
      </c>
      <c r="S201" s="150"/>
      <c r="T201" s="150"/>
      <c r="U201" s="150"/>
      <c r="V201" s="150"/>
      <c r="W201" s="812">
        <f>17395+25483</f>
        <v>42878</v>
      </c>
      <c r="X201" s="812">
        <v>69995</v>
      </c>
      <c r="Y201" s="150"/>
      <c r="Z201" s="150"/>
      <c r="AA201" s="150"/>
      <c r="AB201" s="150"/>
      <c r="AC201" s="812">
        <v>69995</v>
      </c>
      <c r="AD201" s="812">
        <v>39600</v>
      </c>
      <c r="AE201" s="150"/>
      <c r="AF201" s="150"/>
      <c r="AG201" s="150"/>
      <c r="AH201" s="150"/>
      <c r="AI201" s="813">
        <f t="shared" si="18"/>
        <v>39600</v>
      </c>
      <c r="AJ201" s="762">
        <f t="shared" si="19"/>
        <v>152473</v>
      </c>
    </row>
    <row r="202" spans="1:36">
      <c r="A202" s="165"/>
      <c r="B202" s="237"/>
      <c r="C202" s="151"/>
      <c r="D202" s="149"/>
      <c r="E202" s="151"/>
      <c r="F202" s="148"/>
      <c r="G202" s="687"/>
      <c r="H202" s="148"/>
      <c r="I202" s="149"/>
      <c r="J202" s="151"/>
      <c r="K202" s="148"/>
      <c r="L202" s="150"/>
      <c r="M202" s="150"/>
      <c r="N202" s="150"/>
      <c r="O202" s="150"/>
      <c r="P202" s="150"/>
      <c r="Q202" s="797">
        <f t="shared" si="20"/>
        <v>0</v>
      </c>
      <c r="R202" s="150"/>
      <c r="S202" s="150"/>
      <c r="T202" s="150"/>
      <c r="U202" s="150"/>
      <c r="V202" s="150"/>
      <c r="W202" s="797">
        <f t="shared" si="16"/>
        <v>0</v>
      </c>
      <c r="X202" s="150"/>
      <c r="Y202" s="150"/>
      <c r="Z202" s="150"/>
      <c r="AA202" s="150"/>
      <c r="AB202" s="150"/>
      <c r="AC202" s="150">
        <f t="shared" si="17"/>
        <v>0</v>
      </c>
      <c r="AD202" s="150"/>
      <c r="AE202" s="150"/>
      <c r="AF202" s="150"/>
      <c r="AG202" s="150"/>
      <c r="AH202" s="150"/>
      <c r="AI202" s="813">
        <f t="shared" si="18"/>
        <v>0</v>
      </c>
      <c r="AJ202" s="762">
        <f t="shared" si="19"/>
        <v>0</v>
      </c>
    </row>
    <row r="203" spans="1:36" ht="89.25">
      <c r="A203" s="66" t="s">
        <v>481</v>
      </c>
      <c r="B203" s="149"/>
      <c r="C203" s="148"/>
      <c r="D203" s="233" t="s">
        <v>461</v>
      </c>
      <c r="E203" s="234" t="s">
        <v>463</v>
      </c>
      <c r="F203" s="677" t="s">
        <v>80</v>
      </c>
      <c r="G203" s="694" t="s">
        <v>80</v>
      </c>
      <c r="H203" s="235">
        <v>7</v>
      </c>
      <c r="I203" s="235">
        <v>5</v>
      </c>
      <c r="J203" s="151"/>
      <c r="K203" s="148"/>
      <c r="L203" s="150"/>
      <c r="M203" s="150"/>
      <c r="N203" s="150"/>
      <c r="O203" s="150"/>
      <c r="P203" s="150"/>
      <c r="Q203" s="797">
        <f t="shared" si="20"/>
        <v>0</v>
      </c>
      <c r="R203" s="812">
        <v>25000</v>
      </c>
      <c r="S203" s="150"/>
      <c r="T203" s="150"/>
      <c r="U203" s="150"/>
      <c r="V203" s="150"/>
      <c r="W203" s="812">
        <v>25000</v>
      </c>
      <c r="X203" s="812">
        <v>25000</v>
      </c>
      <c r="Y203" s="150"/>
      <c r="Z203" s="150"/>
      <c r="AA203" s="150"/>
      <c r="AB203" s="150"/>
      <c r="AC203" s="812">
        <v>25000</v>
      </c>
      <c r="AD203" s="812">
        <v>25000</v>
      </c>
      <c r="AE203" s="150"/>
      <c r="AF203" s="150"/>
      <c r="AG203" s="150"/>
      <c r="AH203" s="150"/>
      <c r="AI203" s="813">
        <f t="shared" si="18"/>
        <v>25000</v>
      </c>
      <c r="AJ203" s="762">
        <f t="shared" si="19"/>
        <v>75000</v>
      </c>
    </row>
    <row r="204" spans="1:36" ht="89.25">
      <c r="A204" s="66" t="s">
        <v>482</v>
      </c>
      <c r="B204" s="237"/>
      <c r="C204" s="151"/>
      <c r="D204" s="233" t="s">
        <v>404</v>
      </c>
      <c r="E204" s="234" t="s">
        <v>464</v>
      </c>
      <c r="F204" s="707" t="s">
        <v>80</v>
      </c>
      <c r="G204" s="694" t="s">
        <v>80</v>
      </c>
      <c r="H204" s="235">
        <v>7</v>
      </c>
      <c r="I204" s="235" t="s">
        <v>465</v>
      </c>
      <c r="J204" s="151"/>
      <c r="K204" s="148"/>
      <c r="L204" s="812">
        <v>12500</v>
      </c>
      <c r="M204" s="150"/>
      <c r="N204" s="150"/>
      <c r="O204" s="150"/>
      <c r="P204" s="150"/>
      <c r="Q204" s="797">
        <f t="shared" si="20"/>
        <v>12500</v>
      </c>
      <c r="R204" s="150">
        <v>0</v>
      </c>
      <c r="S204" s="150"/>
      <c r="T204" s="150"/>
      <c r="U204" s="150"/>
      <c r="V204" s="150"/>
      <c r="W204" s="797">
        <f>SUM(R204:V204)</f>
        <v>0</v>
      </c>
      <c r="X204" s="150">
        <v>0</v>
      </c>
      <c r="Y204" s="150"/>
      <c r="Z204" s="150"/>
      <c r="AA204" s="150"/>
      <c r="AB204" s="150"/>
      <c r="AC204" s="150">
        <f t="shared" si="17"/>
        <v>0</v>
      </c>
      <c r="AD204" s="150">
        <v>0</v>
      </c>
      <c r="AE204" s="150"/>
      <c r="AF204" s="150"/>
      <c r="AG204" s="150"/>
      <c r="AH204" s="150"/>
      <c r="AI204" s="813">
        <f t="shared" si="18"/>
        <v>0</v>
      </c>
      <c r="AJ204" s="762">
        <f t="shared" si="19"/>
        <v>12500</v>
      </c>
    </row>
    <row r="205" spans="1:36" ht="76.5">
      <c r="A205" s="66" t="s">
        <v>483</v>
      </c>
      <c r="B205" s="149"/>
      <c r="C205" s="148"/>
      <c r="D205" s="233" t="s">
        <v>404</v>
      </c>
      <c r="E205" s="234" t="s">
        <v>466</v>
      </c>
      <c r="F205" s="707" t="s">
        <v>80</v>
      </c>
      <c r="G205" s="694" t="s">
        <v>80</v>
      </c>
      <c r="H205" s="235">
        <v>7</v>
      </c>
      <c r="I205" s="235">
        <v>5</v>
      </c>
      <c r="J205" s="151"/>
      <c r="K205" s="148"/>
      <c r="L205" s="812">
        <v>20000</v>
      </c>
      <c r="M205" s="150"/>
      <c r="N205" s="150"/>
      <c r="O205" s="150"/>
      <c r="P205" s="150"/>
      <c r="Q205" s="797">
        <f t="shared" si="20"/>
        <v>20000</v>
      </c>
      <c r="R205" s="812">
        <v>0</v>
      </c>
      <c r="S205" s="150"/>
      <c r="T205" s="150"/>
      <c r="U205" s="150"/>
      <c r="V205" s="150"/>
      <c r="W205" s="797">
        <f t="shared" si="16"/>
        <v>0</v>
      </c>
      <c r="X205" s="812">
        <v>0</v>
      </c>
      <c r="Y205" s="150"/>
      <c r="Z205" s="150"/>
      <c r="AA205" s="150"/>
      <c r="AB205" s="150"/>
      <c r="AC205" s="150">
        <f t="shared" si="17"/>
        <v>0</v>
      </c>
      <c r="AD205" s="812">
        <v>0</v>
      </c>
      <c r="AE205" s="150"/>
      <c r="AF205" s="150"/>
      <c r="AG205" s="150"/>
      <c r="AH205" s="150"/>
      <c r="AI205" s="813">
        <f t="shared" si="18"/>
        <v>0</v>
      </c>
      <c r="AJ205" s="762">
        <f t="shared" si="19"/>
        <v>20000</v>
      </c>
    </row>
    <row r="206" spans="1:36">
      <c r="A206" s="1094" t="s">
        <v>467</v>
      </c>
      <c r="B206" s="1094"/>
      <c r="C206" s="1094"/>
      <c r="D206" s="1094"/>
      <c r="E206" s="1094"/>
      <c r="F206" s="1094"/>
      <c r="G206" s="1094"/>
      <c r="H206" s="1094"/>
      <c r="I206" s="1094"/>
      <c r="J206" s="151"/>
      <c r="K206" s="148"/>
      <c r="L206" s="150"/>
      <c r="M206" s="150"/>
      <c r="N206" s="150"/>
      <c r="O206" s="150"/>
      <c r="P206" s="150"/>
      <c r="Q206" s="797">
        <f t="shared" si="20"/>
        <v>0</v>
      </c>
      <c r="R206" s="150"/>
      <c r="S206" s="150"/>
      <c r="T206" s="150"/>
      <c r="U206" s="150"/>
      <c r="V206" s="150"/>
      <c r="W206" s="797">
        <f t="shared" si="16"/>
        <v>0</v>
      </c>
      <c r="X206" s="150"/>
      <c r="Y206" s="150"/>
      <c r="Z206" s="150"/>
      <c r="AA206" s="150"/>
      <c r="AB206" s="150"/>
      <c r="AC206" s="150">
        <f t="shared" si="17"/>
        <v>0</v>
      </c>
      <c r="AD206" s="150"/>
      <c r="AE206" s="150"/>
      <c r="AF206" s="150"/>
      <c r="AG206" s="150"/>
      <c r="AH206" s="150"/>
      <c r="AI206" s="813">
        <f t="shared" si="18"/>
        <v>0</v>
      </c>
      <c r="AJ206" s="762">
        <f t="shared" si="19"/>
        <v>0</v>
      </c>
    </row>
    <row r="207" spans="1:36" ht="76.5">
      <c r="A207" s="1094" t="s">
        <v>468</v>
      </c>
      <c r="B207" s="149"/>
      <c r="C207" s="148"/>
      <c r="D207" s="238" t="s">
        <v>469</v>
      </c>
      <c r="E207" s="234" t="s">
        <v>470</v>
      </c>
      <c r="F207" s="262" t="s">
        <v>80</v>
      </c>
      <c r="G207" s="694" t="s">
        <v>80</v>
      </c>
      <c r="H207" s="235">
        <v>7</v>
      </c>
      <c r="I207" s="235">
        <v>5</v>
      </c>
      <c r="J207" s="151"/>
      <c r="K207" s="148"/>
      <c r="L207" s="150">
        <v>0</v>
      </c>
      <c r="M207" s="150"/>
      <c r="N207" s="150"/>
      <c r="O207" s="798"/>
      <c r="P207" s="150"/>
      <c r="Q207" s="797">
        <f t="shared" si="20"/>
        <v>0</v>
      </c>
      <c r="R207" s="812">
        <v>20000</v>
      </c>
      <c r="S207" s="150"/>
      <c r="T207" s="150"/>
      <c r="U207" s="798"/>
      <c r="V207" s="150"/>
      <c r="W207" s="797">
        <f t="shared" si="16"/>
        <v>20000</v>
      </c>
      <c r="X207" s="150">
        <v>0</v>
      </c>
      <c r="Y207" s="150"/>
      <c r="Z207" s="150"/>
      <c r="AA207" s="150"/>
      <c r="AB207" s="150"/>
      <c r="AC207" s="150">
        <f t="shared" si="17"/>
        <v>0</v>
      </c>
      <c r="AD207" s="150">
        <v>0</v>
      </c>
      <c r="AE207" s="150"/>
      <c r="AF207" s="150"/>
      <c r="AG207" s="798"/>
      <c r="AH207" s="150"/>
      <c r="AI207" s="813">
        <f t="shared" si="18"/>
        <v>0</v>
      </c>
      <c r="AJ207" s="762">
        <f t="shared" si="19"/>
        <v>20000</v>
      </c>
    </row>
    <row r="208" spans="1:36" ht="76.5">
      <c r="A208" s="1094"/>
      <c r="B208" s="149"/>
      <c r="C208" s="148"/>
      <c r="D208" s="238" t="s">
        <v>471</v>
      </c>
      <c r="E208" s="234" t="s">
        <v>472</v>
      </c>
      <c r="F208" s="262" t="s">
        <v>80</v>
      </c>
      <c r="G208" s="694" t="s">
        <v>80</v>
      </c>
      <c r="H208" s="235">
        <v>7</v>
      </c>
      <c r="I208" s="235">
        <v>5</v>
      </c>
      <c r="J208" s="151"/>
      <c r="K208" s="148"/>
      <c r="L208" s="150">
        <v>0</v>
      </c>
      <c r="M208" s="150"/>
      <c r="N208" s="150"/>
      <c r="O208" s="150"/>
      <c r="P208" s="150"/>
      <c r="Q208" s="797">
        <f t="shared" si="20"/>
        <v>0</v>
      </c>
      <c r="R208" s="812">
        <v>66593</v>
      </c>
      <c r="S208" s="150"/>
      <c r="T208" s="150"/>
      <c r="U208" s="150"/>
      <c r="V208" s="150"/>
      <c r="W208" s="812">
        <v>66593</v>
      </c>
      <c r="X208" s="812">
        <v>49984</v>
      </c>
      <c r="Y208" s="150"/>
      <c r="Z208" s="150"/>
      <c r="AA208" s="150"/>
      <c r="AB208" s="150"/>
      <c r="AC208" s="812">
        <v>49984</v>
      </c>
      <c r="AD208" s="812">
        <v>73217</v>
      </c>
      <c r="AE208" s="150"/>
      <c r="AF208" s="150"/>
      <c r="AG208" s="150"/>
      <c r="AH208" s="150"/>
      <c r="AI208" s="813">
        <f t="shared" si="18"/>
        <v>73217</v>
      </c>
      <c r="AJ208" s="762">
        <f t="shared" si="19"/>
        <v>189794</v>
      </c>
    </row>
    <row r="209" spans="1:36" ht="76.5">
      <c r="A209" s="1094"/>
      <c r="B209" s="149"/>
      <c r="C209" s="148"/>
      <c r="D209" s="235" t="s">
        <v>473</v>
      </c>
      <c r="E209" s="234" t="s">
        <v>474</v>
      </c>
      <c r="F209" s="262" t="s">
        <v>80</v>
      </c>
      <c r="G209" s="694" t="s">
        <v>80</v>
      </c>
      <c r="H209" s="235">
        <v>7</v>
      </c>
      <c r="I209" s="235">
        <v>5</v>
      </c>
      <c r="J209" s="151"/>
      <c r="K209" s="148"/>
      <c r="L209" s="812">
        <v>2285</v>
      </c>
      <c r="M209" s="150"/>
      <c r="N209" s="150"/>
      <c r="O209" s="798"/>
      <c r="P209" s="150"/>
      <c r="Q209" s="797">
        <f t="shared" si="20"/>
        <v>2285</v>
      </c>
      <c r="R209" s="812">
        <v>6310</v>
      </c>
      <c r="S209" s="150"/>
      <c r="T209" s="150"/>
      <c r="U209" s="798"/>
      <c r="V209" s="150"/>
      <c r="W209" s="797">
        <f t="shared" si="16"/>
        <v>6310</v>
      </c>
      <c r="X209" s="812">
        <v>5590</v>
      </c>
      <c r="Y209" s="150"/>
      <c r="Z209" s="150"/>
      <c r="AA209" s="150"/>
      <c r="AB209" s="150"/>
      <c r="AC209" s="812">
        <v>5590</v>
      </c>
      <c r="AD209" s="812">
        <v>2460</v>
      </c>
      <c r="AE209" s="150"/>
      <c r="AF209" s="150"/>
      <c r="AG209" s="798"/>
      <c r="AH209" s="150"/>
      <c r="AI209" s="813">
        <f t="shared" si="18"/>
        <v>2460</v>
      </c>
      <c r="AJ209" s="762">
        <f t="shared" si="19"/>
        <v>16645</v>
      </c>
    </row>
    <row r="210" spans="1:36" ht="89.25">
      <c r="A210" s="66" t="s">
        <v>475</v>
      </c>
      <c r="B210" s="149"/>
      <c r="C210" s="148"/>
      <c r="D210" s="233" t="s">
        <v>404</v>
      </c>
      <c r="E210" s="234" t="s">
        <v>476</v>
      </c>
      <c r="F210" s="262" t="s">
        <v>80</v>
      </c>
      <c r="G210" s="694" t="s">
        <v>80</v>
      </c>
      <c r="H210" s="235" t="s">
        <v>406</v>
      </c>
      <c r="I210" s="149">
        <v>5</v>
      </c>
      <c r="J210" s="151"/>
      <c r="K210" s="148"/>
      <c r="L210" s="150">
        <v>0</v>
      </c>
      <c r="M210" s="150"/>
      <c r="N210" s="150"/>
      <c r="O210" s="150"/>
      <c r="P210" s="150"/>
      <c r="Q210" s="797">
        <f t="shared" si="20"/>
        <v>0</v>
      </c>
      <c r="R210" s="150">
        <v>0</v>
      </c>
      <c r="S210" s="150"/>
      <c r="T210" s="150"/>
      <c r="U210" s="150"/>
      <c r="V210" s="150"/>
      <c r="W210" s="797">
        <f t="shared" si="16"/>
        <v>0</v>
      </c>
      <c r="X210" s="812">
        <v>100000</v>
      </c>
      <c r="Y210" s="150"/>
      <c r="Z210" s="150"/>
      <c r="AA210" s="150"/>
      <c r="AB210" s="150"/>
      <c r="AC210" s="812">
        <v>100000</v>
      </c>
      <c r="AD210" s="812">
        <v>100000</v>
      </c>
      <c r="AE210" s="150"/>
      <c r="AF210" s="150"/>
      <c r="AG210" s="150"/>
      <c r="AH210" s="150"/>
      <c r="AI210" s="813">
        <f t="shared" si="18"/>
        <v>100000</v>
      </c>
      <c r="AJ210" s="762">
        <f t="shared" si="19"/>
        <v>200000</v>
      </c>
    </row>
    <row r="211" spans="1:36" ht="89.25">
      <c r="A211" s="66" t="s">
        <v>477</v>
      </c>
      <c r="B211" s="149"/>
      <c r="C211" s="148"/>
      <c r="D211" s="233" t="s">
        <v>404</v>
      </c>
      <c r="E211" s="234" t="s">
        <v>478</v>
      </c>
      <c r="F211" s="262" t="s">
        <v>80</v>
      </c>
      <c r="G211" s="694" t="s">
        <v>80</v>
      </c>
      <c r="H211" s="235">
        <v>7</v>
      </c>
      <c r="I211" s="235">
        <v>5</v>
      </c>
      <c r="J211" s="151"/>
      <c r="K211" s="148"/>
      <c r="L211" s="150">
        <v>0</v>
      </c>
      <c r="M211" s="150"/>
      <c r="N211" s="150"/>
      <c r="O211" s="150"/>
      <c r="P211" s="150"/>
      <c r="Q211" s="797">
        <f t="shared" si="20"/>
        <v>0</v>
      </c>
      <c r="R211" s="814">
        <v>126056.23</v>
      </c>
      <c r="S211" s="150"/>
      <c r="T211" s="150"/>
      <c r="U211" s="150"/>
      <c r="V211" s="150"/>
      <c r="W211" s="797">
        <f>SUM(R211:V211)</f>
        <v>126056.23</v>
      </c>
      <c r="X211" s="814"/>
      <c r="Y211" s="150">
        <v>0</v>
      </c>
      <c r="Z211" s="150"/>
      <c r="AA211" s="150"/>
      <c r="AB211" s="150"/>
      <c r="AC211" s="150">
        <f t="shared" si="17"/>
        <v>0</v>
      </c>
      <c r="AD211" s="150">
        <v>0</v>
      </c>
      <c r="AE211" s="150"/>
      <c r="AF211" s="150"/>
      <c r="AG211" s="150"/>
      <c r="AH211" s="150"/>
      <c r="AI211" s="813">
        <f t="shared" si="18"/>
        <v>0</v>
      </c>
      <c r="AJ211" s="762">
        <f t="shared" si="19"/>
        <v>126056.23</v>
      </c>
    </row>
    <row r="212" spans="1:36">
      <c r="A212" s="241" t="s">
        <v>479</v>
      </c>
      <c r="B212" s="170"/>
      <c r="C212" s="175"/>
      <c r="D212" s="352"/>
      <c r="E212" s="353"/>
      <c r="F212" s="354"/>
      <c r="G212" s="175"/>
      <c r="H212" s="354"/>
      <c r="I212" s="354"/>
      <c r="J212" s="171"/>
      <c r="K212" s="175"/>
      <c r="L212" s="312">
        <v>74966</v>
      </c>
      <c r="M212" s="175"/>
      <c r="N212" s="175"/>
      <c r="O212" s="175"/>
      <c r="P212" s="175"/>
      <c r="Q212" s="355">
        <v>74966</v>
      </c>
      <c r="R212" s="356">
        <v>454553</v>
      </c>
      <c r="S212" s="175"/>
      <c r="T212" s="175"/>
      <c r="U212" s="175"/>
      <c r="V212" s="175"/>
      <c r="W212" s="357">
        <v>454533</v>
      </c>
      <c r="X212" s="356">
        <v>344421</v>
      </c>
      <c r="Y212" s="175"/>
      <c r="Z212" s="175"/>
      <c r="AA212" s="175"/>
      <c r="AB212" s="175"/>
      <c r="AC212" s="312">
        <v>344421</v>
      </c>
      <c r="AD212" s="312">
        <v>539083</v>
      </c>
      <c r="AE212" s="175"/>
      <c r="AF212" s="175"/>
      <c r="AG212" s="175"/>
      <c r="AH212" s="175"/>
      <c r="AI212" s="358">
        <v>539083</v>
      </c>
      <c r="AJ212" s="777">
        <v>1413023</v>
      </c>
    </row>
    <row r="213" spans="1:36">
      <c r="A213" s="241"/>
      <c r="B213" s="170"/>
      <c r="C213" s="175"/>
      <c r="D213" s="352"/>
      <c r="E213" s="353"/>
      <c r="F213" s="354"/>
      <c r="G213" s="175"/>
      <c r="H213" s="354"/>
      <c r="I213" s="354"/>
      <c r="J213" s="171"/>
      <c r="K213" s="175"/>
      <c r="L213" s="425">
        <f>SUM(L199:L211)</f>
        <v>74966</v>
      </c>
      <c r="M213" s="425">
        <f t="shared" ref="M213:AG213" si="21">SUM(M199:M211)</f>
        <v>0</v>
      </c>
      <c r="N213" s="425">
        <f t="shared" si="21"/>
        <v>0</v>
      </c>
      <c r="O213" s="425">
        <f t="shared" si="21"/>
        <v>0</v>
      </c>
      <c r="P213" s="425">
        <f t="shared" si="21"/>
        <v>0</v>
      </c>
      <c r="Q213" s="425">
        <f t="shared" si="21"/>
        <v>74966</v>
      </c>
      <c r="R213" s="425">
        <f t="shared" si="21"/>
        <v>454553.44999999995</v>
      </c>
      <c r="S213" s="425">
        <f t="shared" si="21"/>
        <v>0</v>
      </c>
      <c r="T213" s="425">
        <f t="shared" si="21"/>
        <v>0</v>
      </c>
      <c r="U213" s="425">
        <f t="shared" si="21"/>
        <v>0</v>
      </c>
      <c r="V213" s="425">
        <f t="shared" si="21"/>
        <v>0</v>
      </c>
      <c r="W213" s="425">
        <f t="shared" si="21"/>
        <v>454553.44999999995</v>
      </c>
      <c r="X213" s="425">
        <f t="shared" si="21"/>
        <v>418285.22</v>
      </c>
      <c r="Y213" s="425">
        <f t="shared" si="21"/>
        <v>0</v>
      </c>
      <c r="Z213" s="425">
        <f t="shared" si="21"/>
        <v>0</v>
      </c>
      <c r="AA213" s="425">
        <f t="shared" si="21"/>
        <v>0</v>
      </c>
      <c r="AB213" s="425">
        <f t="shared" si="21"/>
        <v>0</v>
      </c>
      <c r="AC213" s="425">
        <f t="shared" si="21"/>
        <v>418285.22</v>
      </c>
      <c r="AD213" s="425">
        <f t="shared" si="21"/>
        <v>539082.72</v>
      </c>
      <c r="AE213" s="425">
        <f t="shared" si="21"/>
        <v>0</v>
      </c>
      <c r="AF213" s="425">
        <f t="shared" si="21"/>
        <v>0</v>
      </c>
      <c r="AG213" s="425">
        <f t="shared" si="21"/>
        <v>0</v>
      </c>
      <c r="AH213" s="425">
        <f>SUM(AH199:AH211)</f>
        <v>0</v>
      </c>
      <c r="AI213" s="425">
        <f>SUM(AI199:AI211)</f>
        <v>539082.72</v>
      </c>
      <c r="AJ213" s="778">
        <f>SUM(AI213+AC213+W213+Q213)</f>
        <v>1486887.39</v>
      </c>
    </row>
    <row r="214" spans="1:36">
      <c r="A214" s="66"/>
      <c r="B214" s="149"/>
      <c r="C214" s="148"/>
      <c r="D214" s="233"/>
      <c r="E214" s="234"/>
      <c r="F214" s="235"/>
      <c r="G214" s="148"/>
      <c r="H214" s="235"/>
      <c r="I214" s="235"/>
      <c r="J214" s="151"/>
      <c r="K214" s="148"/>
      <c r="L214" s="148"/>
      <c r="M214" s="148"/>
      <c r="N214" s="148"/>
      <c r="O214" s="148"/>
      <c r="P214" s="148"/>
      <c r="Q214" s="155"/>
      <c r="R214" s="240"/>
      <c r="S214" s="148"/>
      <c r="T214" s="148"/>
      <c r="U214" s="148"/>
      <c r="V214" s="148"/>
      <c r="W214" s="155"/>
      <c r="X214" s="240"/>
      <c r="Y214" s="148"/>
      <c r="Z214" s="148"/>
      <c r="AA214" s="148"/>
      <c r="AB214" s="148"/>
      <c r="AC214" s="148"/>
      <c r="AD214" s="148"/>
      <c r="AE214" s="148"/>
      <c r="AF214" s="148"/>
      <c r="AG214" s="148"/>
      <c r="AH214" s="148"/>
      <c r="AI214" s="342"/>
      <c r="AJ214" s="762"/>
    </row>
    <row r="215" spans="1:36">
      <c r="A215" s="66"/>
      <c r="B215" s="149"/>
      <c r="C215" s="148"/>
      <c r="D215" s="233"/>
      <c r="E215" s="234"/>
      <c r="F215" s="235"/>
      <c r="G215" s="148"/>
      <c r="H215" s="235"/>
      <c r="I215" s="235"/>
      <c r="J215" s="151"/>
      <c r="K215" s="148"/>
      <c r="L215" s="148"/>
      <c r="M215" s="148"/>
      <c r="N215" s="148"/>
      <c r="O215" s="148"/>
      <c r="P215" s="148"/>
      <c r="Q215" s="155"/>
      <c r="R215" s="240"/>
      <c r="S215" s="148"/>
      <c r="T215" s="148"/>
      <c r="U215" s="148"/>
      <c r="V215" s="148"/>
      <c r="W215" s="155"/>
      <c r="X215" s="240"/>
      <c r="Y215" s="148"/>
      <c r="Z215" s="148"/>
      <c r="AA215" s="148"/>
      <c r="AB215" s="148"/>
      <c r="AC215" s="148"/>
      <c r="AD215" s="148"/>
      <c r="AE215" s="148"/>
      <c r="AF215" s="148"/>
      <c r="AG215" s="148"/>
      <c r="AH215" s="148"/>
      <c r="AI215" s="342"/>
      <c r="AJ215" s="762"/>
    </row>
    <row r="216" spans="1:36">
      <c r="A216" s="4"/>
      <c r="B216" s="149"/>
      <c r="C216" s="148"/>
      <c r="D216" s="149"/>
      <c r="E216" s="148"/>
      <c r="F216" s="148"/>
      <c r="G216" s="148"/>
      <c r="H216" s="148"/>
      <c r="I216" s="149"/>
      <c r="J216" s="151"/>
      <c r="K216" s="148"/>
      <c r="L216" s="239"/>
      <c r="M216" s="148"/>
      <c r="N216" s="148"/>
      <c r="O216" s="148"/>
      <c r="P216" s="148"/>
      <c r="Q216" s="155"/>
      <c r="R216" s="148"/>
      <c r="S216" s="148"/>
      <c r="T216" s="148"/>
      <c r="U216" s="148"/>
      <c r="V216" s="148"/>
      <c r="W216" s="155"/>
      <c r="X216" s="148"/>
      <c r="Y216" s="148"/>
      <c r="Z216" s="148"/>
      <c r="AA216" s="148"/>
      <c r="AB216" s="148"/>
      <c r="AC216" s="148"/>
      <c r="AD216" s="148"/>
      <c r="AE216" s="148"/>
      <c r="AF216" s="148"/>
      <c r="AG216" s="148"/>
      <c r="AH216" s="148"/>
      <c r="AI216" s="342"/>
      <c r="AJ216" s="762"/>
    </row>
    <row r="217" spans="1:36">
      <c r="A217" s="1095" t="s">
        <v>480</v>
      </c>
      <c r="B217" s="1096"/>
      <c r="C217" s="1096"/>
      <c r="D217" s="1096"/>
      <c r="E217" s="1096"/>
      <c r="F217" s="1096"/>
      <c r="G217" s="1096"/>
      <c r="H217" s="1096"/>
      <c r="I217" s="1096"/>
      <c r="J217" s="1097"/>
      <c r="K217" s="148"/>
      <c r="L217" s="148"/>
      <c r="M217" s="148"/>
      <c r="N217" s="148"/>
      <c r="O217" s="148"/>
      <c r="P217" s="148"/>
      <c r="Q217" s="155"/>
      <c r="R217" s="148"/>
      <c r="S217" s="148"/>
      <c r="T217" s="148"/>
      <c r="U217" s="148"/>
      <c r="V217" s="148"/>
      <c r="W217" s="155"/>
      <c r="X217" s="148"/>
      <c r="Y217" s="148"/>
      <c r="Z217" s="148"/>
      <c r="AA217" s="148"/>
      <c r="AB217" s="148"/>
      <c r="AC217" s="148"/>
      <c r="AD217" s="148"/>
      <c r="AE217" s="148"/>
      <c r="AF217" s="148"/>
      <c r="AG217" s="148"/>
      <c r="AH217" s="148"/>
      <c r="AI217" s="343"/>
      <c r="AJ217" s="779"/>
    </row>
    <row r="218" spans="1:36">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J218" s="757"/>
    </row>
    <row r="219" spans="1:36">
      <c r="A219" s="1084"/>
      <c r="B219" s="462"/>
      <c r="C219" s="462"/>
      <c r="D219" s="1084" t="s">
        <v>0</v>
      </c>
      <c r="E219" s="1084" t="s">
        <v>210</v>
      </c>
      <c r="F219" s="1098" t="s">
        <v>5</v>
      </c>
      <c r="G219" s="1099"/>
      <c r="H219" s="1084" t="s">
        <v>22</v>
      </c>
      <c r="I219" s="1084" t="s">
        <v>211</v>
      </c>
      <c r="J219" s="1084" t="s">
        <v>212</v>
      </c>
      <c r="K219" s="1084" t="s">
        <v>213</v>
      </c>
      <c r="L219" s="1087" t="s">
        <v>214</v>
      </c>
      <c r="M219" s="1088"/>
      <c r="N219" s="1088"/>
      <c r="O219" s="1088"/>
      <c r="P219" s="1088"/>
      <c r="Q219" s="1088"/>
      <c r="R219" s="1088"/>
      <c r="S219" s="1088"/>
      <c r="T219" s="1088"/>
      <c r="U219" s="1088"/>
      <c r="V219" s="1088"/>
      <c r="W219" s="1088"/>
      <c r="X219" s="1088"/>
      <c r="Y219" s="1088"/>
      <c r="Z219" s="1088"/>
      <c r="AA219" s="1088"/>
      <c r="AB219" s="1088"/>
      <c r="AC219" s="1088"/>
      <c r="AD219" s="1088"/>
      <c r="AE219" s="1088"/>
      <c r="AF219" s="1088"/>
      <c r="AG219" s="1088"/>
      <c r="AH219" s="1088"/>
      <c r="AJ219" s="757"/>
    </row>
    <row r="220" spans="1:36" ht="38.25">
      <c r="A220" s="1085"/>
      <c r="B220" s="463" t="s">
        <v>215</v>
      </c>
      <c r="C220" s="463" t="s">
        <v>216</v>
      </c>
      <c r="D220" s="1085"/>
      <c r="E220" s="1085"/>
      <c r="F220" s="1089" t="s">
        <v>217</v>
      </c>
      <c r="G220" s="1089" t="s">
        <v>6</v>
      </c>
      <c r="H220" s="1085"/>
      <c r="I220" s="1085"/>
      <c r="J220" s="1085"/>
      <c r="K220" s="1085"/>
      <c r="L220" s="1091" t="s">
        <v>12</v>
      </c>
      <c r="M220" s="1092"/>
      <c r="N220" s="1092"/>
      <c r="O220" s="1092"/>
      <c r="P220" s="1092"/>
      <c r="Q220" s="1093"/>
      <c r="R220" s="1091" t="s">
        <v>13</v>
      </c>
      <c r="S220" s="1092"/>
      <c r="T220" s="1092"/>
      <c r="U220" s="1092"/>
      <c r="V220" s="1092"/>
      <c r="W220" s="1093"/>
      <c r="X220" s="1091" t="s">
        <v>14</v>
      </c>
      <c r="Y220" s="1092"/>
      <c r="Z220" s="1092"/>
      <c r="AA220" s="1092"/>
      <c r="AB220" s="1092"/>
      <c r="AC220" s="1093"/>
      <c r="AD220" s="1091" t="s">
        <v>15</v>
      </c>
      <c r="AE220" s="1092"/>
      <c r="AF220" s="1092"/>
      <c r="AG220" s="1092"/>
      <c r="AH220" s="1092"/>
      <c r="AI220" s="335"/>
      <c r="AJ220" s="780"/>
    </row>
    <row r="221" spans="1:36" ht="25.5">
      <c r="A221" s="1086"/>
      <c r="B221" s="464"/>
      <c r="C221" s="464"/>
      <c r="D221" s="1086"/>
      <c r="E221" s="1086"/>
      <c r="F221" s="1090"/>
      <c r="G221" s="1090"/>
      <c r="H221" s="1086"/>
      <c r="I221" s="1086"/>
      <c r="J221" s="1086"/>
      <c r="K221" s="1086"/>
      <c r="L221" s="96" t="s">
        <v>1</v>
      </c>
      <c r="M221" s="96" t="s">
        <v>9</v>
      </c>
      <c r="N221" s="96" t="s">
        <v>218</v>
      </c>
      <c r="O221" s="96" t="s">
        <v>17</v>
      </c>
      <c r="P221" s="96" t="s">
        <v>19</v>
      </c>
      <c r="Q221" s="96" t="s">
        <v>4</v>
      </c>
      <c r="R221" s="96" t="s">
        <v>1</v>
      </c>
      <c r="S221" s="96" t="s">
        <v>2</v>
      </c>
      <c r="T221" s="96" t="s">
        <v>219</v>
      </c>
      <c r="U221" s="96" t="s">
        <v>17</v>
      </c>
      <c r="V221" s="96" t="s">
        <v>19</v>
      </c>
      <c r="W221" s="96" t="s">
        <v>4</v>
      </c>
      <c r="X221" s="96" t="s">
        <v>1</v>
      </c>
      <c r="Y221" s="96" t="s">
        <v>9</v>
      </c>
      <c r="Z221" s="96" t="s">
        <v>218</v>
      </c>
      <c r="AA221" s="96" t="s">
        <v>17</v>
      </c>
      <c r="AB221" s="96" t="s">
        <v>19</v>
      </c>
      <c r="AC221" s="96" t="s">
        <v>4</v>
      </c>
      <c r="AD221" s="96" t="s">
        <v>1</v>
      </c>
      <c r="AE221" s="96" t="s">
        <v>9</v>
      </c>
      <c r="AF221" s="96" t="s">
        <v>219</v>
      </c>
      <c r="AG221" s="96" t="s">
        <v>17</v>
      </c>
      <c r="AH221" s="465" t="s">
        <v>19</v>
      </c>
      <c r="AI221" s="349" t="s">
        <v>688</v>
      </c>
      <c r="AJ221" s="781" t="s">
        <v>691</v>
      </c>
    </row>
    <row r="222" spans="1:36">
      <c r="A222" s="464"/>
      <c r="B222" s="464" t="s">
        <v>33</v>
      </c>
      <c r="C222" s="464" t="s">
        <v>34</v>
      </c>
      <c r="D222" s="464" t="s">
        <v>45</v>
      </c>
      <c r="E222" s="466" t="s">
        <v>220</v>
      </c>
      <c r="F222" s="464" t="s">
        <v>36</v>
      </c>
      <c r="G222" s="464" t="s">
        <v>37</v>
      </c>
      <c r="H222" s="464" t="s">
        <v>38</v>
      </c>
      <c r="I222" s="464" t="s">
        <v>39</v>
      </c>
      <c r="J222" s="96" t="s">
        <v>40</v>
      </c>
      <c r="K222" s="96" t="s">
        <v>41</v>
      </c>
      <c r="L222" s="96" t="s">
        <v>221</v>
      </c>
      <c r="M222" s="96" t="s">
        <v>222</v>
      </c>
      <c r="N222" s="96" t="s">
        <v>223</v>
      </c>
      <c r="O222" s="96" t="s">
        <v>224</v>
      </c>
      <c r="P222" s="96" t="s">
        <v>225</v>
      </c>
      <c r="Q222" s="96" t="s">
        <v>226</v>
      </c>
      <c r="R222" s="96" t="s">
        <v>227</v>
      </c>
      <c r="S222" s="96" t="s">
        <v>228</v>
      </c>
      <c r="T222" s="96" t="s">
        <v>229</v>
      </c>
      <c r="U222" s="96" t="s">
        <v>230</v>
      </c>
      <c r="V222" s="96" t="s">
        <v>231</v>
      </c>
      <c r="W222" s="96" t="s">
        <v>232</v>
      </c>
      <c r="X222" s="96" t="s">
        <v>233</v>
      </c>
      <c r="Y222" s="96" t="s">
        <v>234</v>
      </c>
      <c r="Z222" s="96" t="s">
        <v>235</v>
      </c>
      <c r="AA222" s="96" t="s">
        <v>236</v>
      </c>
      <c r="AB222" s="96" t="s">
        <v>237</v>
      </c>
      <c r="AC222" s="96" t="s">
        <v>238</v>
      </c>
      <c r="AD222" s="96" t="s">
        <v>239</v>
      </c>
      <c r="AE222" s="96" t="s">
        <v>240</v>
      </c>
      <c r="AF222" s="96" t="s">
        <v>241</v>
      </c>
      <c r="AG222" s="96" t="s">
        <v>242</v>
      </c>
      <c r="AH222" s="465" t="s">
        <v>243</v>
      </c>
      <c r="AI222" s="346"/>
      <c r="AJ222" s="779"/>
    </row>
    <row r="223" spans="1:36">
      <c r="A223" s="1075"/>
      <c r="B223" s="1076"/>
      <c r="C223" s="1076"/>
      <c r="D223" s="1077"/>
      <c r="E223" s="148"/>
      <c r="F223" s="148"/>
      <c r="G223" s="149"/>
      <c r="H223" s="232"/>
      <c r="I223" s="149"/>
      <c r="J223" s="151"/>
      <c r="K223" s="148"/>
      <c r="L223" s="148"/>
      <c r="M223" s="148"/>
      <c r="N223" s="148"/>
      <c r="O223" s="148"/>
      <c r="P223" s="148"/>
      <c r="Q223" s="155">
        <f t="shared" ref="Q223:Q254" si="22">SUM(L223:P223)</f>
        <v>0</v>
      </c>
      <c r="R223" s="148"/>
      <c r="S223" s="148"/>
      <c r="T223" s="148"/>
      <c r="U223" s="148"/>
      <c r="V223" s="148"/>
      <c r="W223" s="155">
        <f t="shared" ref="W223:W254" si="23">SUM(R223:V223)</f>
        <v>0</v>
      </c>
      <c r="X223" s="148"/>
      <c r="Y223" s="148"/>
      <c r="Z223" s="148"/>
      <c r="AA223" s="148"/>
      <c r="AB223" s="148"/>
      <c r="AC223" s="148"/>
      <c r="AD223" s="148"/>
      <c r="AE223" s="148"/>
      <c r="AF223" s="148"/>
      <c r="AG223" s="148"/>
      <c r="AH223" s="151"/>
      <c r="AI223" s="342"/>
      <c r="AJ223" s="762">
        <f>+Q223+W223+AC223+AI223</f>
        <v>0</v>
      </c>
    </row>
    <row r="224" spans="1:36">
      <c r="A224" s="1075" t="s">
        <v>287</v>
      </c>
      <c r="B224" s="1076"/>
      <c r="C224" s="1076"/>
      <c r="D224" s="1076"/>
      <c r="E224" s="1076"/>
      <c r="F224" s="1076"/>
      <c r="G224" s="1076"/>
      <c r="H224" s="1076"/>
      <c r="I224" s="1076"/>
      <c r="J224" s="1077"/>
      <c r="K224" s="148"/>
      <c r="L224" s="231"/>
      <c r="M224" s="231"/>
      <c r="N224" s="231"/>
      <c r="O224" s="231"/>
      <c r="P224" s="231"/>
      <c r="Q224" s="242">
        <f t="shared" si="22"/>
        <v>0</v>
      </c>
      <c r="R224" s="231"/>
      <c r="S224" s="231"/>
      <c r="T224" s="231"/>
      <c r="U224" s="231"/>
      <c r="V224" s="231"/>
      <c r="W224" s="242">
        <f t="shared" si="23"/>
        <v>0</v>
      </c>
      <c r="X224" s="231"/>
      <c r="Y224" s="231"/>
      <c r="Z224" s="231"/>
      <c r="AA224" s="231"/>
      <c r="AB224" s="231"/>
      <c r="AC224" s="231"/>
      <c r="AD224" s="231"/>
      <c r="AE224" s="231"/>
      <c r="AF224" s="231"/>
      <c r="AG224" s="231"/>
      <c r="AH224" s="250"/>
      <c r="AI224" s="342"/>
      <c r="AJ224" s="762">
        <f t="shared" ref="AJ224:AJ275" si="24">+Q224+W224+AC224+AI224</f>
        <v>0</v>
      </c>
    </row>
    <row r="225" spans="1:36">
      <c r="A225" s="4" t="s">
        <v>484</v>
      </c>
      <c r="B225" s="461"/>
      <c r="C225" s="461"/>
      <c r="D225" s="461"/>
      <c r="E225" s="243"/>
      <c r="F225" s="243"/>
      <c r="G225" s="244"/>
      <c r="H225" s="245"/>
      <c r="I225" s="244"/>
      <c r="J225" s="243"/>
      <c r="K225" s="148"/>
      <c r="L225" s="231"/>
      <c r="M225" s="231"/>
      <c r="N225" s="231"/>
      <c r="O225" s="231"/>
      <c r="P225" s="231"/>
      <c r="Q225" s="242">
        <f t="shared" si="22"/>
        <v>0</v>
      </c>
      <c r="R225" s="231"/>
      <c r="S225" s="231"/>
      <c r="T225" s="231"/>
      <c r="U225" s="231"/>
      <c r="V225" s="231"/>
      <c r="W225" s="242">
        <f t="shared" si="23"/>
        <v>0</v>
      </c>
      <c r="X225" s="231"/>
      <c r="Y225" s="231"/>
      <c r="Z225" s="231"/>
      <c r="AA225" s="231"/>
      <c r="AB225" s="231"/>
      <c r="AC225" s="231"/>
      <c r="AD225" s="231"/>
      <c r="AE225" s="231"/>
      <c r="AF225" s="231"/>
      <c r="AG225" s="231"/>
      <c r="AH225" s="250"/>
      <c r="AI225" s="342"/>
      <c r="AJ225" s="762">
        <f t="shared" si="24"/>
        <v>0</v>
      </c>
    </row>
    <row r="226" spans="1:36">
      <c r="A226" s="6" t="s">
        <v>485</v>
      </c>
      <c r="B226" s="461"/>
      <c r="C226" s="461"/>
      <c r="D226" s="461"/>
      <c r="E226" s="243"/>
      <c r="F226" s="243"/>
      <c r="G226" s="244"/>
      <c r="H226" s="245"/>
      <c r="I226" s="244"/>
      <c r="J226" s="243"/>
      <c r="K226" s="148"/>
      <c r="L226" s="231"/>
      <c r="M226" s="231"/>
      <c r="N226" s="231"/>
      <c r="O226" s="231"/>
      <c r="P226" s="231"/>
      <c r="Q226" s="242">
        <f t="shared" si="22"/>
        <v>0</v>
      </c>
      <c r="R226" s="231"/>
      <c r="S226" s="231"/>
      <c r="T226" s="231"/>
      <c r="U226" s="231"/>
      <c r="V226" s="231"/>
      <c r="W226" s="242">
        <f t="shared" si="23"/>
        <v>0</v>
      </c>
      <c r="X226" s="231"/>
      <c r="Y226" s="231"/>
      <c r="Z226" s="231"/>
      <c r="AA226" s="231"/>
      <c r="AB226" s="231"/>
      <c r="AC226" s="231"/>
      <c r="AD226" s="231"/>
      <c r="AE226" s="231"/>
      <c r="AF226" s="231"/>
      <c r="AG226" s="231"/>
      <c r="AH226" s="250"/>
      <c r="AI226" s="342"/>
      <c r="AJ226" s="762">
        <f t="shared" si="24"/>
        <v>0</v>
      </c>
    </row>
    <row r="227" spans="1:36">
      <c r="A227" s="6" t="s">
        <v>486</v>
      </c>
      <c r="B227" s="481"/>
      <c r="C227" s="481"/>
      <c r="D227" s="481"/>
      <c r="E227" s="148"/>
      <c r="F227" s="148"/>
      <c r="G227" s="149"/>
      <c r="H227" s="232"/>
      <c r="I227" s="149"/>
      <c r="J227" s="148"/>
      <c r="K227" s="148"/>
      <c r="L227" s="231"/>
      <c r="M227" s="231"/>
      <c r="N227" s="231"/>
      <c r="O227" s="231"/>
      <c r="P227" s="231"/>
      <c r="Q227" s="242">
        <f t="shared" si="22"/>
        <v>0</v>
      </c>
      <c r="R227" s="231"/>
      <c r="S227" s="231"/>
      <c r="T227" s="231"/>
      <c r="U227" s="231"/>
      <c r="V227" s="231"/>
      <c r="W227" s="242">
        <f t="shared" si="23"/>
        <v>0</v>
      </c>
      <c r="X227" s="231"/>
      <c r="Y227" s="231"/>
      <c r="Z227" s="231"/>
      <c r="AA227" s="231"/>
      <c r="AB227" s="231"/>
      <c r="AC227" s="231"/>
      <c r="AD227" s="231"/>
      <c r="AE227" s="231"/>
      <c r="AF227" s="231"/>
      <c r="AG227" s="231"/>
      <c r="AH227" s="250"/>
      <c r="AI227" s="342"/>
      <c r="AJ227" s="762">
        <f t="shared" si="24"/>
        <v>0</v>
      </c>
    </row>
    <row r="228" spans="1:36" ht="51">
      <c r="A228" s="172" t="s">
        <v>487</v>
      </c>
      <c r="B228" s="246"/>
      <c r="C228" s="246"/>
      <c r="D228" s="246"/>
      <c r="E228" s="246"/>
      <c r="F228" s="246"/>
      <c r="G228" s="246"/>
      <c r="H228" s="246"/>
      <c r="I228" s="246"/>
      <c r="J228" s="246"/>
      <c r="K228" s="148"/>
      <c r="L228" s="231"/>
      <c r="M228" s="231"/>
      <c r="N228" s="231"/>
      <c r="O228" s="231"/>
      <c r="P228" s="231"/>
      <c r="Q228" s="242">
        <f t="shared" si="22"/>
        <v>0</v>
      </c>
      <c r="R228" s="231"/>
      <c r="S228" s="231"/>
      <c r="T228" s="231"/>
      <c r="U228" s="231"/>
      <c r="V228" s="231"/>
      <c r="W228" s="242">
        <f t="shared" si="23"/>
        <v>0</v>
      </c>
      <c r="X228" s="231"/>
      <c r="Y228" s="231"/>
      <c r="Z228" s="231"/>
      <c r="AA228" s="231"/>
      <c r="AB228" s="231"/>
      <c r="AC228" s="231"/>
      <c r="AD228" s="231"/>
      <c r="AE228" s="231"/>
      <c r="AF228" s="231"/>
      <c r="AG228" s="231"/>
      <c r="AH228" s="250"/>
      <c r="AI228" s="342"/>
      <c r="AJ228" s="762">
        <f t="shared" si="24"/>
        <v>0</v>
      </c>
    </row>
    <row r="229" spans="1:36">
      <c r="A229" s="6" t="s">
        <v>488</v>
      </c>
      <c r="B229" s="6"/>
      <c r="C229" s="6"/>
      <c r="D229" s="6"/>
      <c r="E229" s="6"/>
      <c r="F229" s="6"/>
      <c r="G229" s="6"/>
      <c r="H229" s="6"/>
      <c r="I229" s="6"/>
      <c r="J229" s="6"/>
      <c r="K229" s="6"/>
      <c r="L229" s="92"/>
      <c r="M229" s="92"/>
      <c r="N229" s="92"/>
      <c r="O229" s="92"/>
      <c r="P229" s="92"/>
      <c r="Q229" s="242">
        <f t="shared" si="22"/>
        <v>0</v>
      </c>
      <c r="R229" s="92"/>
      <c r="S229" s="92"/>
      <c r="T229" s="92"/>
      <c r="U229" s="92"/>
      <c r="V229" s="92"/>
      <c r="W229" s="242">
        <f t="shared" si="23"/>
        <v>0</v>
      </c>
      <c r="X229" s="92"/>
      <c r="Y229" s="92"/>
      <c r="Z229" s="92"/>
      <c r="AA229" s="92"/>
      <c r="AB229" s="92"/>
      <c r="AC229" s="231"/>
      <c r="AD229" s="92"/>
      <c r="AE229" s="92"/>
      <c r="AF229" s="92"/>
      <c r="AG229" s="92"/>
      <c r="AH229" s="338"/>
      <c r="AI229" s="342"/>
      <c r="AJ229" s="762">
        <f t="shared" si="24"/>
        <v>0</v>
      </c>
    </row>
    <row r="230" spans="1:36" ht="38.25">
      <c r="A230" s="738" t="s">
        <v>489</v>
      </c>
      <c r="B230" s="149"/>
      <c r="C230" s="148"/>
      <c r="D230" s="149"/>
      <c r="E230" s="148"/>
      <c r="F230" s="148"/>
      <c r="G230" s="148"/>
      <c r="H230" s="148"/>
      <c r="I230" s="149"/>
      <c r="J230" s="151"/>
      <c r="K230" s="148"/>
      <c r="L230" s="231"/>
      <c r="M230" s="231"/>
      <c r="N230" s="231"/>
      <c r="O230" s="231"/>
      <c r="P230" s="231"/>
      <c r="Q230" s="242">
        <f t="shared" si="22"/>
        <v>0</v>
      </c>
      <c r="R230" s="248"/>
      <c r="S230" s="231"/>
      <c r="T230" s="231"/>
      <c r="U230" s="231"/>
      <c r="V230" s="231"/>
      <c r="W230" s="242">
        <f t="shared" si="23"/>
        <v>0</v>
      </c>
      <c r="X230" s="231"/>
      <c r="Y230" s="231"/>
      <c r="Z230" s="231"/>
      <c r="AA230" s="231"/>
      <c r="AB230" s="231"/>
      <c r="AC230" s="231"/>
      <c r="AD230" s="231"/>
      <c r="AE230" s="231"/>
      <c r="AF230" s="231"/>
      <c r="AG230" s="231"/>
      <c r="AH230" s="250"/>
      <c r="AI230" s="342"/>
      <c r="AJ230" s="762">
        <f t="shared" si="24"/>
        <v>0</v>
      </c>
    </row>
    <row r="231" spans="1:36" ht="370.5">
      <c r="A231" s="733" t="s">
        <v>490</v>
      </c>
      <c r="B231" s="737"/>
      <c r="C231" s="151"/>
      <c r="D231" s="149" t="s">
        <v>491</v>
      </c>
      <c r="E231" s="249" t="s">
        <v>492</v>
      </c>
      <c r="F231" s="725" t="s">
        <v>80</v>
      </c>
      <c r="G231" s="483" t="s">
        <v>80</v>
      </c>
      <c r="H231" s="141">
        <v>7</v>
      </c>
      <c r="I231" s="149"/>
      <c r="J231" s="151"/>
      <c r="K231" s="148"/>
      <c r="L231" s="815">
        <v>4995</v>
      </c>
      <c r="M231" s="816"/>
      <c r="N231" s="816"/>
      <c r="O231" s="816"/>
      <c r="P231" s="816"/>
      <c r="Q231" s="817">
        <f t="shared" si="22"/>
        <v>4995</v>
      </c>
      <c r="R231" s="816">
        <v>0</v>
      </c>
      <c r="S231" s="816"/>
      <c r="T231" s="816"/>
      <c r="U231" s="816"/>
      <c r="V231" s="816"/>
      <c r="W231" s="817">
        <f t="shared" si="23"/>
        <v>0</v>
      </c>
      <c r="X231" s="816">
        <v>0</v>
      </c>
      <c r="Y231" s="816"/>
      <c r="Z231" s="816"/>
      <c r="AA231" s="816"/>
      <c r="AB231" s="816"/>
      <c r="AC231" s="816">
        <f t="shared" ref="AC231:AC264" si="25">SUM(X231:AB231)</f>
        <v>0</v>
      </c>
      <c r="AD231" s="816">
        <v>0</v>
      </c>
      <c r="AE231" s="816"/>
      <c r="AF231" s="816"/>
      <c r="AG231" s="816"/>
      <c r="AH231" s="818"/>
      <c r="AI231" s="819"/>
      <c r="AJ231" s="762">
        <f t="shared" si="24"/>
        <v>4995</v>
      </c>
    </row>
    <row r="232" spans="1:36" ht="38.25">
      <c r="A232" s="733" t="s">
        <v>493</v>
      </c>
      <c r="B232" s="149"/>
      <c r="C232" s="148"/>
      <c r="D232" s="149" t="s">
        <v>491</v>
      </c>
      <c r="E232" s="148"/>
      <c r="F232" s="729" t="s">
        <v>719</v>
      </c>
      <c r="G232" s="148" t="s">
        <v>699</v>
      </c>
      <c r="H232" s="141">
        <v>7</v>
      </c>
      <c r="I232" s="149"/>
      <c r="J232" s="151"/>
      <c r="K232" s="148"/>
      <c r="L232" s="816">
        <v>0</v>
      </c>
      <c r="M232" s="816"/>
      <c r="N232" s="816"/>
      <c r="O232" s="816"/>
      <c r="P232" s="816"/>
      <c r="Q232" s="817">
        <f t="shared" si="22"/>
        <v>0</v>
      </c>
      <c r="R232" s="816">
        <v>0</v>
      </c>
      <c r="S232" s="816"/>
      <c r="T232" s="816"/>
      <c r="U232" s="816"/>
      <c r="V232" s="816"/>
      <c r="W232" s="817">
        <f t="shared" si="23"/>
        <v>0</v>
      </c>
      <c r="X232" s="816">
        <v>0</v>
      </c>
      <c r="Y232" s="816"/>
      <c r="Z232" s="816"/>
      <c r="AA232" s="816"/>
      <c r="AB232" s="816"/>
      <c r="AC232" s="816">
        <f t="shared" si="25"/>
        <v>0</v>
      </c>
      <c r="AD232" s="816">
        <v>0</v>
      </c>
      <c r="AE232" s="816"/>
      <c r="AF232" s="816"/>
      <c r="AG232" s="816"/>
      <c r="AH232" s="818"/>
      <c r="AI232" s="819"/>
      <c r="AJ232" s="762">
        <f t="shared" si="24"/>
        <v>0</v>
      </c>
    </row>
    <row r="233" spans="1:36" ht="318.75">
      <c r="A233" s="733" t="s">
        <v>494</v>
      </c>
      <c r="B233" s="149"/>
      <c r="C233" s="148"/>
      <c r="D233" s="149" t="s">
        <v>491</v>
      </c>
      <c r="E233" s="4" t="s">
        <v>495</v>
      </c>
      <c r="F233" s="725" t="s">
        <v>80</v>
      </c>
      <c r="G233" s="483" t="s">
        <v>80</v>
      </c>
      <c r="H233" s="148"/>
      <c r="I233" s="149"/>
      <c r="J233" s="151"/>
      <c r="K233" s="148"/>
      <c r="L233" s="820">
        <v>4371</v>
      </c>
      <c r="M233" s="816"/>
      <c r="N233" s="816"/>
      <c r="O233" s="816"/>
      <c r="P233" s="816"/>
      <c r="Q233" s="817">
        <f t="shared" si="22"/>
        <v>4371</v>
      </c>
      <c r="R233" s="816">
        <v>0</v>
      </c>
      <c r="S233" s="816"/>
      <c r="T233" s="816"/>
      <c r="U233" s="816"/>
      <c r="V233" s="816"/>
      <c r="W233" s="817">
        <f t="shared" si="23"/>
        <v>0</v>
      </c>
      <c r="X233" s="816">
        <v>0</v>
      </c>
      <c r="Y233" s="816"/>
      <c r="Z233" s="816"/>
      <c r="AA233" s="816"/>
      <c r="AB233" s="816"/>
      <c r="AC233" s="816">
        <f t="shared" si="25"/>
        <v>0</v>
      </c>
      <c r="AD233" s="816">
        <v>0</v>
      </c>
      <c r="AE233" s="816"/>
      <c r="AF233" s="816"/>
      <c r="AG233" s="816"/>
      <c r="AH233" s="818"/>
      <c r="AI233" s="819"/>
      <c r="AJ233" s="762">
        <f t="shared" si="24"/>
        <v>4371</v>
      </c>
    </row>
    <row r="234" spans="1:36" ht="178.5">
      <c r="A234" s="733" t="s">
        <v>496</v>
      </c>
      <c r="B234" s="149"/>
      <c r="C234" s="148"/>
      <c r="D234" s="149"/>
      <c r="E234" s="4" t="s">
        <v>497</v>
      </c>
      <c r="F234" s="725" t="s">
        <v>80</v>
      </c>
      <c r="G234" s="483" t="s">
        <v>80</v>
      </c>
      <c r="H234" s="141">
        <v>7</v>
      </c>
      <c r="I234" s="149"/>
      <c r="J234" s="151"/>
      <c r="K234" s="148"/>
      <c r="L234" s="816">
        <v>0</v>
      </c>
      <c r="M234" s="816"/>
      <c r="N234" s="816"/>
      <c r="O234" s="816"/>
      <c r="P234" s="816"/>
      <c r="Q234" s="817">
        <f t="shared" si="22"/>
        <v>0</v>
      </c>
      <c r="R234" s="816">
        <v>0</v>
      </c>
      <c r="S234" s="816"/>
      <c r="T234" s="816"/>
      <c r="U234" s="816"/>
      <c r="V234" s="816"/>
      <c r="W234" s="817">
        <f t="shared" si="23"/>
        <v>0</v>
      </c>
      <c r="X234" s="816">
        <v>0</v>
      </c>
      <c r="Y234" s="816"/>
      <c r="Z234" s="816"/>
      <c r="AA234" s="816"/>
      <c r="AB234" s="816"/>
      <c r="AC234" s="816">
        <f t="shared" si="25"/>
        <v>0</v>
      </c>
      <c r="AD234" s="816">
        <v>0</v>
      </c>
      <c r="AE234" s="816"/>
      <c r="AF234" s="816"/>
      <c r="AG234" s="816"/>
      <c r="AH234" s="818"/>
      <c r="AI234" s="819"/>
      <c r="AJ234" s="762">
        <f t="shared" si="24"/>
        <v>0</v>
      </c>
    </row>
    <row r="235" spans="1:36" ht="409.5">
      <c r="A235" s="733" t="s">
        <v>570</v>
      </c>
      <c r="B235" s="149"/>
      <c r="C235" s="148"/>
      <c r="D235" s="149"/>
      <c r="E235" s="4" t="s">
        <v>498</v>
      </c>
      <c r="F235" s="723" t="s">
        <v>719</v>
      </c>
      <c r="G235" s="148" t="s">
        <v>699</v>
      </c>
      <c r="H235" s="148"/>
      <c r="I235" s="149"/>
      <c r="J235" s="151"/>
      <c r="K235" s="148"/>
      <c r="L235" s="816"/>
      <c r="M235" s="816"/>
      <c r="N235" s="816"/>
      <c r="O235" s="816"/>
      <c r="P235" s="816"/>
      <c r="Q235" s="817">
        <f t="shared" si="22"/>
        <v>0</v>
      </c>
      <c r="R235" s="821"/>
      <c r="S235" s="816"/>
      <c r="T235" s="816"/>
      <c r="U235" s="822"/>
      <c r="V235" s="816"/>
      <c r="W235" s="817">
        <f>SUM(S235:V235)</f>
        <v>0</v>
      </c>
      <c r="X235" s="822"/>
      <c r="Y235" s="816"/>
      <c r="Z235" s="816"/>
      <c r="AA235" s="816"/>
      <c r="AB235" s="816"/>
      <c r="AC235" s="816">
        <f>SUM(X235:AB235)</f>
        <v>0</v>
      </c>
      <c r="AD235" s="816">
        <v>0</v>
      </c>
      <c r="AE235" s="816"/>
      <c r="AF235" s="816"/>
      <c r="AG235" s="816"/>
      <c r="AH235" s="818"/>
      <c r="AI235" s="819"/>
      <c r="AJ235" s="762">
        <f t="shared" si="24"/>
        <v>0</v>
      </c>
    </row>
    <row r="236" spans="1:36">
      <c r="A236" s="4" t="s">
        <v>499</v>
      </c>
      <c r="B236" s="149"/>
      <c r="C236" s="148"/>
      <c r="D236" s="149"/>
      <c r="E236" s="148"/>
      <c r="F236" s="148"/>
      <c r="G236" s="148"/>
      <c r="H236" s="148"/>
      <c r="I236" s="149"/>
      <c r="J236" s="151"/>
      <c r="K236" s="148"/>
      <c r="L236" s="816"/>
      <c r="M236" s="816"/>
      <c r="N236" s="816"/>
      <c r="O236" s="816"/>
      <c r="P236" s="816"/>
      <c r="Q236" s="817">
        <f t="shared" si="22"/>
        <v>0</v>
      </c>
      <c r="R236" s="816"/>
      <c r="S236" s="816"/>
      <c r="T236" s="816"/>
      <c r="U236" s="816"/>
      <c r="V236" s="816"/>
      <c r="W236" s="817">
        <f t="shared" si="23"/>
        <v>0</v>
      </c>
      <c r="X236" s="816"/>
      <c r="Y236" s="816"/>
      <c r="Z236" s="816"/>
      <c r="AA236" s="816"/>
      <c r="AB236" s="816"/>
      <c r="AC236" s="816">
        <f t="shared" si="25"/>
        <v>0</v>
      </c>
      <c r="AD236" s="816"/>
      <c r="AE236" s="816"/>
      <c r="AF236" s="816"/>
      <c r="AG236" s="816"/>
      <c r="AH236" s="818"/>
      <c r="AI236" s="819"/>
      <c r="AJ236" s="762">
        <f t="shared" si="24"/>
        <v>0</v>
      </c>
    </row>
    <row r="237" spans="1:36" ht="25.5">
      <c r="A237" s="247" t="s">
        <v>500</v>
      </c>
      <c r="B237" s="149"/>
      <c r="C237" s="148"/>
      <c r="D237" s="149"/>
      <c r="E237" s="148"/>
      <c r="F237" s="148"/>
      <c r="G237" s="148"/>
      <c r="H237" s="148"/>
      <c r="I237" s="149"/>
      <c r="J237" s="151"/>
      <c r="K237" s="148"/>
      <c r="L237" s="816"/>
      <c r="M237" s="816"/>
      <c r="N237" s="816"/>
      <c r="O237" s="816"/>
      <c r="P237" s="816"/>
      <c r="Q237" s="817">
        <f t="shared" si="22"/>
        <v>0</v>
      </c>
      <c r="R237" s="816"/>
      <c r="S237" s="816"/>
      <c r="T237" s="816"/>
      <c r="U237" s="816"/>
      <c r="V237" s="816"/>
      <c r="W237" s="817">
        <f t="shared" si="23"/>
        <v>0</v>
      </c>
      <c r="X237" s="816"/>
      <c r="Y237" s="816"/>
      <c r="Z237" s="816"/>
      <c r="AA237" s="816"/>
      <c r="AB237" s="816"/>
      <c r="AC237" s="816">
        <f t="shared" si="25"/>
        <v>0</v>
      </c>
      <c r="AD237" s="816"/>
      <c r="AE237" s="816"/>
      <c r="AF237" s="816"/>
      <c r="AG237" s="816"/>
      <c r="AH237" s="818"/>
      <c r="AI237" s="819"/>
      <c r="AJ237" s="762">
        <f t="shared" si="24"/>
        <v>0</v>
      </c>
    </row>
    <row r="238" spans="1:36" ht="102">
      <c r="A238" s="733" t="s">
        <v>501</v>
      </c>
      <c r="B238" s="149"/>
      <c r="C238" s="148"/>
      <c r="D238" s="149"/>
      <c r="E238" s="4" t="s">
        <v>502</v>
      </c>
      <c r="F238" s="725" t="s">
        <v>80</v>
      </c>
      <c r="G238" s="483" t="s">
        <v>80</v>
      </c>
      <c r="H238" s="141">
        <v>7</v>
      </c>
      <c r="I238" s="149"/>
      <c r="J238" s="151"/>
      <c r="K238" s="148"/>
      <c r="L238" s="816"/>
      <c r="M238" s="816"/>
      <c r="N238" s="816">
        <v>0</v>
      </c>
      <c r="O238" s="816"/>
      <c r="P238" s="816"/>
      <c r="Q238" s="817">
        <f t="shared" si="22"/>
        <v>0</v>
      </c>
      <c r="R238" s="816">
        <v>0</v>
      </c>
      <c r="S238" s="816"/>
      <c r="T238" s="816"/>
      <c r="U238" s="816"/>
      <c r="V238" s="816"/>
      <c r="W238" s="817">
        <f t="shared" si="23"/>
        <v>0</v>
      </c>
      <c r="X238" s="816">
        <v>0</v>
      </c>
      <c r="Y238" s="816"/>
      <c r="Z238" s="816"/>
      <c r="AA238" s="816"/>
      <c r="AB238" s="816"/>
      <c r="AC238" s="816">
        <f t="shared" si="25"/>
        <v>0</v>
      </c>
      <c r="AD238" s="821"/>
      <c r="AE238" s="816"/>
      <c r="AF238" s="816"/>
      <c r="AG238" s="816"/>
      <c r="AH238" s="818"/>
      <c r="AI238" s="819"/>
      <c r="AJ238" s="762">
        <f t="shared" si="24"/>
        <v>0</v>
      </c>
    </row>
    <row r="239" spans="1:36" ht="267.75">
      <c r="A239" s="733" t="s">
        <v>503</v>
      </c>
      <c r="B239" s="149"/>
      <c r="C239" s="148"/>
      <c r="D239" s="149"/>
      <c r="E239" s="4" t="s">
        <v>504</v>
      </c>
      <c r="F239" s="725" t="s">
        <v>80</v>
      </c>
      <c r="G239" s="483" t="s">
        <v>80</v>
      </c>
      <c r="H239" s="141">
        <v>7</v>
      </c>
      <c r="I239" s="149"/>
      <c r="J239" s="151"/>
      <c r="K239" s="148"/>
      <c r="L239" s="816"/>
      <c r="M239" s="816"/>
      <c r="N239" s="816"/>
      <c r="O239" s="816"/>
      <c r="P239" s="816"/>
      <c r="Q239" s="817">
        <f t="shared" si="22"/>
        <v>0</v>
      </c>
      <c r="R239" s="816"/>
      <c r="S239" s="816"/>
      <c r="T239" s="816"/>
      <c r="U239" s="816"/>
      <c r="V239" s="816"/>
      <c r="W239" s="817">
        <f t="shared" si="23"/>
        <v>0</v>
      </c>
      <c r="X239" s="816"/>
      <c r="Y239" s="816"/>
      <c r="Z239" s="816"/>
      <c r="AA239" s="816"/>
      <c r="AB239" s="816"/>
      <c r="AC239" s="816">
        <f t="shared" si="25"/>
        <v>0</v>
      </c>
      <c r="AD239" s="816"/>
      <c r="AE239" s="816"/>
      <c r="AF239" s="816"/>
      <c r="AG239" s="816"/>
      <c r="AH239" s="818"/>
      <c r="AI239" s="819"/>
      <c r="AJ239" s="762">
        <f t="shared" si="24"/>
        <v>0</v>
      </c>
    </row>
    <row r="240" spans="1:36" ht="51">
      <c r="A240" s="733" t="s">
        <v>505</v>
      </c>
      <c r="B240" s="149"/>
      <c r="C240" s="148"/>
      <c r="D240" s="149"/>
      <c r="E240" s="148"/>
      <c r="F240" s="725" t="s">
        <v>80</v>
      </c>
      <c r="G240" s="483" t="s">
        <v>80</v>
      </c>
      <c r="H240" s="148"/>
      <c r="I240" s="149"/>
      <c r="J240" s="151"/>
      <c r="K240" s="148"/>
      <c r="L240" s="816">
        <v>15000</v>
      </c>
      <c r="M240" s="816"/>
      <c r="N240" s="816"/>
      <c r="O240" s="816"/>
      <c r="P240" s="816"/>
      <c r="Q240" s="817">
        <f t="shared" si="22"/>
        <v>15000</v>
      </c>
      <c r="R240" s="816">
        <v>15000</v>
      </c>
      <c r="S240" s="816"/>
      <c r="T240" s="816"/>
      <c r="U240" s="816"/>
      <c r="V240" s="816"/>
      <c r="W240" s="817">
        <f t="shared" si="23"/>
        <v>15000</v>
      </c>
      <c r="X240" s="816">
        <v>15000</v>
      </c>
      <c r="Y240" s="816"/>
      <c r="Z240" s="816"/>
      <c r="AA240" s="816"/>
      <c r="AB240" s="816"/>
      <c r="AC240" s="816">
        <f t="shared" si="25"/>
        <v>15000</v>
      </c>
      <c r="AD240" s="816">
        <v>15000</v>
      </c>
      <c r="AE240" s="816"/>
      <c r="AF240" s="816"/>
      <c r="AG240" s="816"/>
      <c r="AH240" s="818"/>
      <c r="AI240" s="819">
        <f>SUM(AD240:AH240)</f>
        <v>15000</v>
      </c>
      <c r="AJ240" s="762">
        <f t="shared" si="24"/>
        <v>60000</v>
      </c>
    </row>
    <row r="241" spans="1:36" ht="49.5" customHeight="1">
      <c r="A241" s="733" t="s">
        <v>506</v>
      </c>
      <c r="B241" s="149"/>
      <c r="C241" s="148"/>
      <c r="D241" s="149"/>
      <c r="E241" s="148"/>
      <c r="F241" s="728"/>
      <c r="G241" s="148"/>
      <c r="H241" s="148"/>
      <c r="I241" s="149"/>
      <c r="J241" s="151"/>
      <c r="K241" s="148"/>
      <c r="L241" s="816"/>
      <c r="M241" s="816"/>
      <c r="N241" s="816"/>
      <c r="O241" s="816"/>
      <c r="P241" s="816"/>
      <c r="Q241" s="817">
        <f t="shared" si="22"/>
        <v>0</v>
      </c>
      <c r="R241" s="816"/>
      <c r="S241" s="816"/>
      <c r="T241" s="816"/>
      <c r="U241" s="816"/>
      <c r="V241" s="816"/>
      <c r="W241" s="817">
        <f t="shared" si="23"/>
        <v>0</v>
      </c>
      <c r="X241" s="816"/>
      <c r="Y241" s="816"/>
      <c r="Z241" s="816"/>
      <c r="AA241" s="816"/>
      <c r="AB241" s="816"/>
      <c r="AC241" s="816">
        <f t="shared" si="25"/>
        <v>0</v>
      </c>
      <c r="AD241" s="816"/>
      <c r="AE241" s="816"/>
      <c r="AF241" s="816"/>
      <c r="AG241" s="816"/>
      <c r="AH241" s="818"/>
      <c r="AI241" s="819"/>
      <c r="AJ241" s="762">
        <f t="shared" si="24"/>
        <v>0</v>
      </c>
    </row>
    <row r="242" spans="1:36" ht="191.25">
      <c r="A242" s="733" t="s">
        <v>507</v>
      </c>
      <c r="B242" s="149"/>
      <c r="C242" s="148"/>
      <c r="D242" s="149"/>
      <c r="E242" s="4" t="s">
        <v>508</v>
      </c>
      <c r="F242" s="725" t="s">
        <v>80</v>
      </c>
      <c r="G242" s="483" t="s">
        <v>80</v>
      </c>
      <c r="H242" s="148"/>
      <c r="I242" s="149"/>
      <c r="J242" s="151"/>
      <c r="K242" s="148"/>
      <c r="L242" s="816"/>
      <c r="M242" s="816"/>
      <c r="N242" s="816"/>
      <c r="O242" s="816"/>
      <c r="P242" s="816"/>
      <c r="Q242" s="817">
        <f t="shared" si="22"/>
        <v>0</v>
      </c>
      <c r="R242" s="816"/>
      <c r="S242" s="816"/>
      <c r="T242" s="816"/>
      <c r="U242" s="816"/>
      <c r="V242" s="816"/>
      <c r="W242" s="817">
        <f t="shared" si="23"/>
        <v>0</v>
      </c>
      <c r="X242" s="816"/>
      <c r="Y242" s="816"/>
      <c r="Z242" s="816"/>
      <c r="AA242" s="816"/>
      <c r="AB242" s="816"/>
      <c r="AC242" s="816">
        <f t="shared" si="25"/>
        <v>0</v>
      </c>
      <c r="AD242" s="816"/>
      <c r="AE242" s="816"/>
      <c r="AF242" s="816"/>
      <c r="AG242" s="816"/>
      <c r="AH242" s="818"/>
      <c r="AI242" s="819"/>
      <c r="AJ242" s="762">
        <f t="shared" si="24"/>
        <v>0</v>
      </c>
    </row>
    <row r="243" spans="1:36" ht="102">
      <c r="A243" s="736" t="s">
        <v>510</v>
      </c>
      <c r="B243" s="149"/>
      <c r="C243" s="148"/>
      <c r="D243" s="149"/>
      <c r="E243" s="4" t="s">
        <v>511</v>
      </c>
      <c r="F243" s="725" t="s">
        <v>80</v>
      </c>
      <c r="G243" s="483" t="s">
        <v>80</v>
      </c>
      <c r="H243" s="148"/>
      <c r="I243" s="149"/>
      <c r="J243" s="151"/>
      <c r="K243" s="148"/>
      <c r="L243" s="816"/>
      <c r="M243" s="816"/>
      <c r="N243" s="816"/>
      <c r="O243" s="816"/>
      <c r="P243" s="816"/>
      <c r="Q243" s="817">
        <f t="shared" si="22"/>
        <v>0</v>
      </c>
      <c r="R243" s="816"/>
      <c r="S243" s="816"/>
      <c r="T243" s="816"/>
      <c r="U243" s="816"/>
      <c r="V243" s="816"/>
      <c r="W243" s="817">
        <f t="shared" si="23"/>
        <v>0</v>
      </c>
      <c r="X243" s="816"/>
      <c r="Y243" s="816"/>
      <c r="Z243" s="816"/>
      <c r="AA243" s="816"/>
      <c r="AB243" s="816"/>
      <c r="AC243" s="816">
        <f t="shared" si="25"/>
        <v>0</v>
      </c>
      <c r="AD243" s="816"/>
      <c r="AE243" s="816"/>
      <c r="AF243" s="816"/>
      <c r="AG243" s="816"/>
      <c r="AH243" s="818"/>
      <c r="AI243" s="819"/>
      <c r="AJ243" s="762">
        <f t="shared" si="24"/>
        <v>0</v>
      </c>
    </row>
    <row r="244" spans="1:36" ht="102">
      <c r="A244" s="736" t="s">
        <v>512</v>
      </c>
      <c r="B244" s="149"/>
      <c r="C244" s="148"/>
      <c r="D244" s="149"/>
      <c r="E244" s="4" t="s">
        <v>513</v>
      </c>
      <c r="F244" s="727" t="s">
        <v>719</v>
      </c>
      <c r="G244" s="148" t="s">
        <v>699</v>
      </c>
      <c r="H244" s="148"/>
      <c r="I244" s="149"/>
      <c r="J244" s="151"/>
      <c r="K244" s="148"/>
      <c r="L244" s="816"/>
      <c r="M244" s="816"/>
      <c r="N244" s="816"/>
      <c r="O244" s="816"/>
      <c r="P244" s="816"/>
      <c r="Q244" s="817">
        <f t="shared" si="22"/>
        <v>0</v>
      </c>
      <c r="R244" s="816"/>
      <c r="S244" s="816"/>
      <c r="T244" s="816"/>
      <c r="U244" s="816"/>
      <c r="V244" s="816"/>
      <c r="W244" s="817">
        <f t="shared" si="23"/>
        <v>0</v>
      </c>
      <c r="X244" s="816"/>
      <c r="Y244" s="816"/>
      <c r="Z244" s="816"/>
      <c r="AA244" s="816"/>
      <c r="AB244" s="816"/>
      <c r="AC244" s="816">
        <f t="shared" si="25"/>
        <v>0</v>
      </c>
      <c r="AD244" s="816"/>
      <c r="AE244" s="816"/>
      <c r="AF244" s="816"/>
      <c r="AG244" s="816"/>
      <c r="AH244" s="818"/>
      <c r="AI244" s="819"/>
      <c r="AJ244" s="762">
        <f t="shared" si="24"/>
        <v>0</v>
      </c>
    </row>
    <row r="245" spans="1:36">
      <c r="A245" s="172" t="s">
        <v>515</v>
      </c>
      <c r="B245" s="149"/>
      <c r="C245" s="148"/>
      <c r="D245" s="149"/>
      <c r="E245" s="4"/>
      <c r="F245" s="468"/>
      <c r="G245" s="148"/>
      <c r="H245" s="148"/>
      <c r="I245" s="149"/>
      <c r="J245" s="151"/>
      <c r="K245" s="148"/>
      <c r="L245" s="816"/>
      <c r="M245" s="816"/>
      <c r="N245" s="816"/>
      <c r="O245" s="816"/>
      <c r="P245" s="816"/>
      <c r="Q245" s="817">
        <f t="shared" si="22"/>
        <v>0</v>
      </c>
      <c r="R245" s="816"/>
      <c r="S245" s="816"/>
      <c r="T245" s="816"/>
      <c r="U245" s="816"/>
      <c r="V245" s="816"/>
      <c r="W245" s="817">
        <f t="shared" si="23"/>
        <v>0</v>
      </c>
      <c r="X245" s="816"/>
      <c r="Y245" s="816"/>
      <c r="Z245" s="816"/>
      <c r="AA245" s="816"/>
      <c r="AB245" s="816"/>
      <c r="AC245" s="816">
        <f t="shared" si="25"/>
        <v>0</v>
      </c>
      <c r="AD245" s="816"/>
      <c r="AE245" s="816"/>
      <c r="AF245" s="816"/>
      <c r="AG245" s="816"/>
      <c r="AH245" s="818"/>
      <c r="AI245" s="819"/>
      <c r="AJ245" s="762">
        <f t="shared" si="24"/>
        <v>0</v>
      </c>
    </row>
    <row r="246" spans="1:36" ht="25.5">
      <c r="A246" s="733" t="s">
        <v>516</v>
      </c>
      <c r="B246" s="149"/>
      <c r="C246" s="148"/>
      <c r="D246" s="149"/>
      <c r="E246" s="4"/>
      <c r="F246" s="507"/>
      <c r="G246" s="148"/>
      <c r="H246" s="148"/>
      <c r="I246" s="149"/>
      <c r="J246" s="151"/>
      <c r="K246" s="148"/>
      <c r="L246" s="816"/>
      <c r="M246" s="816"/>
      <c r="N246" s="816"/>
      <c r="O246" s="816"/>
      <c r="P246" s="816"/>
      <c r="Q246" s="817">
        <f t="shared" si="22"/>
        <v>0</v>
      </c>
      <c r="R246" s="816"/>
      <c r="S246" s="816"/>
      <c r="T246" s="816"/>
      <c r="U246" s="816"/>
      <c r="V246" s="816"/>
      <c r="W246" s="817">
        <f t="shared" si="23"/>
        <v>0</v>
      </c>
      <c r="X246" s="816"/>
      <c r="Y246" s="816"/>
      <c r="Z246" s="816"/>
      <c r="AA246" s="816"/>
      <c r="AB246" s="816"/>
      <c r="AC246" s="816">
        <f t="shared" si="25"/>
        <v>0</v>
      </c>
      <c r="AD246" s="816"/>
      <c r="AE246" s="816"/>
      <c r="AF246" s="816"/>
      <c r="AG246" s="816"/>
      <c r="AH246" s="818"/>
      <c r="AI246" s="819"/>
      <c r="AJ246" s="762">
        <f t="shared" si="24"/>
        <v>0</v>
      </c>
    </row>
    <row r="247" spans="1:36" ht="153.75">
      <c r="A247" s="733" t="s">
        <v>517</v>
      </c>
      <c r="B247" s="149"/>
      <c r="C247" s="148"/>
      <c r="D247" s="149"/>
      <c r="E247" s="249" t="s">
        <v>518</v>
      </c>
      <c r="F247" s="726" t="s">
        <v>80</v>
      </c>
      <c r="G247" s="676" t="s">
        <v>80</v>
      </c>
      <c r="H247" s="676" t="s">
        <v>519</v>
      </c>
      <c r="I247" s="149"/>
      <c r="J247" s="151"/>
      <c r="K247" s="148"/>
      <c r="L247" s="816">
        <v>4950</v>
      </c>
      <c r="M247" s="816"/>
      <c r="N247" s="816"/>
      <c r="O247" s="816"/>
      <c r="P247" s="816"/>
      <c r="Q247" s="817">
        <f t="shared" si="22"/>
        <v>4950</v>
      </c>
      <c r="R247" s="816"/>
      <c r="S247" s="816"/>
      <c r="T247" s="816"/>
      <c r="U247" s="816"/>
      <c r="V247" s="816"/>
      <c r="W247" s="817">
        <f t="shared" si="23"/>
        <v>0</v>
      </c>
      <c r="X247" s="816"/>
      <c r="Y247" s="816"/>
      <c r="Z247" s="816"/>
      <c r="AA247" s="816"/>
      <c r="AB247" s="816"/>
      <c r="AC247" s="816">
        <f t="shared" si="25"/>
        <v>0</v>
      </c>
      <c r="AD247" s="816"/>
      <c r="AE247" s="816"/>
      <c r="AF247" s="816"/>
      <c r="AG247" s="816"/>
      <c r="AH247" s="818"/>
      <c r="AI247" s="819"/>
      <c r="AJ247" s="762">
        <f t="shared" si="24"/>
        <v>4950</v>
      </c>
    </row>
    <row r="248" spans="1:36" ht="63.75">
      <c r="A248" s="733" t="s">
        <v>520</v>
      </c>
      <c r="B248" s="149"/>
      <c r="C248" s="148"/>
      <c r="D248" s="149"/>
      <c r="E248" s="4" t="s">
        <v>521</v>
      </c>
      <c r="F248" s="725" t="s">
        <v>80</v>
      </c>
      <c r="G248" s="686" t="s">
        <v>80</v>
      </c>
      <c r="H248" s="148"/>
      <c r="I248" s="149"/>
      <c r="J248" s="151"/>
      <c r="K248" s="148"/>
      <c r="L248" s="816"/>
      <c r="M248" s="816"/>
      <c r="N248" s="816"/>
      <c r="O248" s="816"/>
      <c r="P248" s="816"/>
      <c r="Q248" s="817">
        <f t="shared" si="22"/>
        <v>0</v>
      </c>
      <c r="R248" s="823">
        <v>44200</v>
      </c>
      <c r="S248" s="150"/>
      <c r="T248" s="150"/>
      <c r="U248" s="150"/>
      <c r="V248" s="150"/>
      <c r="W248" s="797">
        <f t="shared" si="23"/>
        <v>44200</v>
      </c>
      <c r="X248" s="816"/>
      <c r="Y248" s="816"/>
      <c r="Z248" s="816"/>
      <c r="AA248" s="816"/>
      <c r="AB248" s="816"/>
      <c r="AC248" s="816">
        <f t="shared" si="25"/>
        <v>0</v>
      </c>
      <c r="AD248" s="816"/>
      <c r="AE248" s="816"/>
      <c r="AF248" s="816"/>
      <c r="AG248" s="816"/>
      <c r="AH248" s="818"/>
      <c r="AI248" s="819"/>
      <c r="AJ248" s="762">
        <f t="shared" si="24"/>
        <v>44200</v>
      </c>
    </row>
    <row r="249" spans="1:36" ht="25.5">
      <c r="A249" s="733" t="s">
        <v>522</v>
      </c>
      <c r="B249" s="149"/>
      <c r="C249" s="148"/>
      <c r="D249" s="149"/>
      <c r="E249" s="4"/>
      <c r="F249" s="507"/>
      <c r="G249" s="148"/>
      <c r="H249" s="148"/>
      <c r="I249" s="149"/>
      <c r="J249" s="151"/>
      <c r="K249" s="148"/>
      <c r="L249" s="816"/>
      <c r="M249" s="816"/>
      <c r="N249" s="150"/>
      <c r="O249" s="150"/>
      <c r="P249" s="150"/>
      <c r="Q249" s="797">
        <f t="shared" si="22"/>
        <v>0</v>
      </c>
      <c r="R249" s="150"/>
      <c r="S249" s="150"/>
      <c r="T249" s="150"/>
      <c r="U249" s="150"/>
      <c r="V249" s="150"/>
      <c r="W249" s="797">
        <f t="shared" si="23"/>
        <v>0</v>
      </c>
      <c r="X249" s="150"/>
      <c r="Y249" s="150"/>
      <c r="Z249" s="150"/>
      <c r="AA249" s="150"/>
      <c r="AB249" s="150"/>
      <c r="AC249" s="150">
        <f t="shared" si="25"/>
        <v>0</v>
      </c>
      <c r="AD249" s="150"/>
      <c r="AE249" s="150"/>
      <c r="AF249" s="150"/>
      <c r="AG249" s="150"/>
      <c r="AH249" s="799"/>
      <c r="AI249" s="819"/>
      <c r="AJ249" s="762">
        <f t="shared" si="24"/>
        <v>0</v>
      </c>
    </row>
    <row r="250" spans="1:36" ht="89.25">
      <c r="A250" s="733" t="s">
        <v>523</v>
      </c>
      <c r="B250" s="149"/>
      <c r="C250" s="148"/>
      <c r="D250" s="149"/>
      <c r="E250" s="4" t="s">
        <v>524</v>
      </c>
      <c r="F250" s="720" t="s">
        <v>719</v>
      </c>
      <c r="G250" s="148" t="s">
        <v>699</v>
      </c>
      <c r="H250" s="148"/>
      <c r="I250" s="149"/>
      <c r="J250" s="151"/>
      <c r="K250" s="148"/>
      <c r="L250" s="816"/>
      <c r="M250" s="816"/>
      <c r="N250" s="150"/>
      <c r="O250" s="150"/>
      <c r="P250" s="150"/>
      <c r="Q250" s="797">
        <f t="shared" si="22"/>
        <v>0</v>
      </c>
      <c r="R250" s="150"/>
      <c r="S250" s="150"/>
      <c r="T250" s="150"/>
      <c r="U250" s="150"/>
      <c r="V250" s="150"/>
      <c r="W250" s="797">
        <f t="shared" si="23"/>
        <v>0</v>
      </c>
      <c r="X250" s="150"/>
      <c r="Y250" s="150"/>
      <c r="Z250" s="150"/>
      <c r="AA250" s="150"/>
      <c r="AB250" s="150"/>
      <c r="AC250" s="150">
        <f t="shared" si="25"/>
        <v>0</v>
      </c>
      <c r="AD250" s="150"/>
      <c r="AE250" s="150"/>
      <c r="AF250" s="150"/>
      <c r="AG250" s="150"/>
      <c r="AH250" s="799"/>
      <c r="AI250" s="819"/>
      <c r="AJ250" s="762">
        <f t="shared" si="24"/>
        <v>0</v>
      </c>
    </row>
    <row r="251" spans="1:36" ht="63.75">
      <c r="A251" s="733" t="s">
        <v>525</v>
      </c>
      <c r="B251" s="149"/>
      <c r="C251" s="148"/>
      <c r="D251" s="149"/>
      <c r="E251" s="4" t="s">
        <v>526</v>
      </c>
      <c r="F251" s="720" t="s">
        <v>163</v>
      </c>
      <c r="G251" s="687" t="s">
        <v>655</v>
      </c>
      <c r="H251" s="148" t="s">
        <v>527</v>
      </c>
      <c r="I251" s="149"/>
      <c r="J251" s="151"/>
      <c r="K251" s="148"/>
      <c r="L251" s="816"/>
      <c r="M251" s="816"/>
      <c r="N251" s="150"/>
      <c r="O251" s="150">
        <v>4900</v>
      </c>
      <c r="P251" s="150"/>
      <c r="Q251" s="797">
        <f t="shared" si="22"/>
        <v>4900</v>
      </c>
      <c r="R251" s="150"/>
      <c r="S251" s="150"/>
      <c r="T251" s="150"/>
      <c r="U251" s="150"/>
      <c r="V251" s="150"/>
      <c r="W251" s="797">
        <f t="shared" si="23"/>
        <v>0</v>
      </c>
      <c r="X251" s="150"/>
      <c r="Y251" s="150"/>
      <c r="Z251" s="150"/>
      <c r="AA251" s="150"/>
      <c r="AB251" s="150"/>
      <c r="AC251" s="150">
        <f t="shared" si="25"/>
        <v>0</v>
      </c>
      <c r="AD251" s="150"/>
      <c r="AE251" s="150"/>
      <c r="AF251" s="150"/>
      <c r="AG251" s="150"/>
      <c r="AH251" s="799"/>
      <c r="AI251" s="819"/>
      <c r="AJ251" s="762">
        <f t="shared" si="24"/>
        <v>4900</v>
      </c>
    </row>
    <row r="252" spans="1:36" ht="63.75">
      <c r="A252" s="733" t="s">
        <v>528</v>
      </c>
      <c r="B252" s="149"/>
      <c r="C252" s="148"/>
      <c r="D252" s="149"/>
      <c r="E252" s="4" t="s">
        <v>529</v>
      </c>
      <c r="F252" s="720" t="s">
        <v>163</v>
      </c>
      <c r="G252" s="687" t="s">
        <v>655</v>
      </c>
      <c r="H252" s="148" t="s">
        <v>720</v>
      </c>
      <c r="I252" s="149"/>
      <c r="J252" s="151"/>
      <c r="K252" s="148"/>
      <c r="L252" s="816"/>
      <c r="M252" s="816"/>
      <c r="N252" s="150"/>
      <c r="O252" s="8">
        <v>15000</v>
      </c>
      <c r="P252" s="150"/>
      <c r="Q252" s="797">
        <f t="shared" si="22"/>
        <v>15000</v>
      </c>
      <c r="R252" s="150"/>
      <c r="S252" s="150"/>
      <c r="T252" s="150"/>
      <c r="U252" s="150"/>
      <c r="V252" s="150"/>
      <c r="W252" s="797">
        <f t="shared" si="23"/>
        <v>0</v>
      </c>
      <c r="X252" s="150"/>
      <c r="Y252" s="150"/>
      <c r="Z252" s="150"/>
      <c r="AA252" s="150"/>
      <c r="AB252" s="150"/>
      <c r="AC252" s="150">
        <f t="shared" si="25"/>
        <v>0</v>
      </c>
      <c r="AD252" s="150"/>
      <c r="AE252" s="150"/>
      <c r="AF252" s="150"/>
      <c r="AG252" s="150"/>
      <c r="AH252" s="799"/>
      <c r="AI252" s="819"/>
      <c r="AJ252" s="762">
        <f t="shared" si="24"/>
        <v>15000</v>
      </c>
    </row>
    <row r="253" spans="1:36">
      <c r="A253" s="733" t="s">
        <v>531</v>
      </c>
      <c r="B253" s="149"/>
      <c r="C253" s="148"/>
      <c r="D253" s="149"/>
      <c r="E253" s="4"/>
      <c r="F253" s="508"/>
      <c r="G253" s="148"/>
      <c r="H253" s="148"/>
      <c r="I253" s="149"/>
      <c r="J253" s="151"/>
      <c r="K253" s="148"/>
      <c r="L253" s="816"/>
      <c r="M253" s="816"/>
      <c r="N253" s="150"/>
      <c r="O253" s="150"/>
      <c r="P253" s="150"/>
      <c r="Q253" s="797">
        <f t="shared" si="22"/>
        <v>0</v>
      </c>
      <c r="R253" s="150"/>
      <c r="S253" s="150"/>
      <c r="T253" s="150"/>
      <c r="U253" s="150"/>
      <c r="V253" s="150"/>
      <c r="W253" s="797">
        <f t="shared" si="23"/>
        <v>0</v>
      </c>
      <c r="X253" s="150"/>
      <c r="Y253" s="150"/>
      <c r="Z253" s="150"/>
      <c r="AA253" s="150"/>
      <c r="AB253" s="150"/>
      <c r="AC253" s="150">
        <f t="shared" si="25"/>
        <v>0</v>
      </c>
      <c r="AD253" s="150"/>
      <c r="AE253" s="150"/>
      <c r="AF253" s="150"/>
      <c r="AG253" s="150"/>
      <c r="AH253" s="799"/>
      <c r="AI253" s="819"/>
      <c r="AJ253" s="762">
        <f t="shared" si="24"/>
        <v>0</v>
      </c>
    </row>
    <row r="254" spans="1:36" ht="344.25">
      <c r="A254" s="733" t="s">
        <v>532</v>
      </c>
      <c r="B254" s="149"/>
      <c r="C254" s="148"/>
      <c r="D254" s="149"/>
      <c r="E254" s="4" t="s">
        <v>533</v>
      </c>
      <c r="F254" s="721" t="s">
        <v>719</v>
      </c>
      <c r="G254" s="148" t="s">
        <v>699</v>
      </c>
      <c r="H254" s="468" t="s">
        <v>534</v>
      </c>
      <c r="I254" s="149"/>
      <c r="J254" s="151"/>
      <c r="K254" s="148"/>
      <c r="L254" s="816"/>
      <c r="M254" s="816"/>
      <c r="N254" s="816"/>
      <c r="O254" s="816"/>
      <c r="P254" s="816"/>
      <c r="Q254" s="817">
        <f t="shared" si="22"/>
        <v>0</v>
      </c>
      <c r="R254" s="816"/>
      <c r="S254" s="816"/>
      <c r="T254" s="816"/>
      <c r="U254" s="816"/>
      <c r="V254" s="816"/>
      <c r="W254" s="817">
        <f t="shared" si="23"/>
        <v>0</v>
      </c>
      <c r="X254" s="816"/>
      <c r="Y254" s="816"/>
      <c r="Z254" s="816"/>
      <c r="AA254" s="816"/>
      <c r="AB254" s="816"/>
      <c r="AC254" s="816">
        <f t="shared" si="25"/>
        <v>0</v>
      </c>
      <c r="AD254" s="816"/>
      <c r="AE254" s="816"/>
      <c r="AF254" s="816"/>
      <c r="AG254" s="816"/>
      <c r="AH254" s="818"/>
      <c r="AI254" s="819"/>
      <c r="AJ254" s="762">
        <f t="shared" si="24"/>
        <v>0</v>
      </c>
    </row>
    <row r="255" spans="1:36" ht="127.5">
      <c r="A255" s="733" t="s">
        <v>535</v>
      </c>
      <c r="B255" s="149"/>
      <c r="C255" s="148"/>
      <c r="D255" s="149"/>
      <c r="E255" s="4" t="s">
        <v>536</v>
      </c>
      <c r="F255" s="720" t="s">
        <v>719</v>
      </c>
      <c r="G255" s="148" t="s">
        <v>699</v>
      </c>
      <c r="H255" s="468" t="s">
        <v>537</v>
      </c>
      <c r="I255" s="149"/>
      <c r="J255" s="151"/>
      <c r="K255" s="148"/>
      <c r="L255" s="816"/>
      <c r="M255" s="816"/>
      <c r="N255" s="816"/>
      <c r="O255" s="816"/>
      <c r="P255" s="816"/>
      <c r="Q255" s="817"/>
      <c r="R255" s="816"/>
      <c r="S255" s="816"/>
      <c r="T255" s="816"/>
      <c r="U255" s="816"/>
      <c r="V255" s="816"/>
      <c r="W255" s="817"/>
      <c r="X255" s="816"/>
      <c r="Y255" s="816"/>
      <c r="Z255" s="816"/>
      <c r="AA255" s="816"/>
      <c r="AB255" s="816"/>
      <c r="AC255" s="816">
        <f t="shared" si="25"/>
        <v>0</v>
      </c>
      <c r="AD255" s="816"/>
      <c r="AE255" s="816"/>
      <c r="AF255" s="816"/>
      <c r="AG255" s="816"/>
      <c r="AH255" s="818"/>
      <c r="AI255" s="819"/>
      <c r="AJ255" s="762">
        <f t="shared" si="24"/>
        <v>0</v>
      </c>
    </row>
    <row r="256" spans="1:36" ht="25.5">
      <c r="A256" s="716" t="s">
        <v>538</v>
      </c>
      <c r="B256" s="149"/>
      <c r="C256" s="148"/>
      <c r="D256" s="149"/>
      <c r="E256" s="4"/>
      <c r="F256" s="678"/>
      <c r="G256" s="148"/>
      <c r="H256" s="148"/>
      <c r="I256" s="149"/>
      <c r="J256" s="151"/>
      <c r="K256" s="148"/>
      <c r="L256" s="150"/>
      <c r="M256" s="150"/>
      <c r="N256" s="150"/>
      <c r="O256" s="150"/>
      <c r="P256" s="150"/>
      <c r="Q256" s="824"/>
      <c r="R256" s="150"/>
      <c r="S256" s="150"/>
      <c r="T256" s="150"/>
      <c r="U256" s="150"/>
      <c r="V256" s="150"/>
      <c r="W256" s="797"/>
      <c r="X256" s="150"/>
      <c r="Y256" s="150"/>
      <c r="Z256" s="150"/>
      <c r="AA256" s="150"/>
      <c r="AB256" s="150"/>
      <c r="AC256" s="150">
        <f t="shared" si="25"/>
        <v>0</v>
      </c>
      <c r="AD256" s="150"/>
      <c r="AE256" s="150"/>
      <c r="AF256" s="150"/>
      <c r="AG256" s="150"/>
      <c r="AH256" s="799"/>
      <c r="AI256" s="819"/>
      <c r="AJ256" s="762">
        <f t="shared" si="24"/>
        <v>0</v>
      </c>
    </row>
    <row r="257" spans="1:36" ht="39">
      <c r="A257" s="717" t="s">
        <v>539</v>
      </c>
      <c r="B257" s="149"/>
      <c r="C257" s="148"/>
      <c r="D257" s="149"/>
      <c r="E257" s="4"/>
      <c r="F257" s="678"/>
      <c r="G257" s="148"/>
      <c r="H257" s="148"/>
      <c r="I257" s="149"/>
      <c r="J257" s="151"/>
      <c r="K257" s="148"/>
      <c r="L257" s="150"/>
      <c r="M257" s="150"/>
      <c r="N257" s="150"/>
      <c r="O257" s="150"/>
      <c r="P257" s="150"/>
      <c r="Q257" s="824"/>
      <c r="R257" s="150"/>
      <c r="S257" s="150"/>
      <c r="T257" s="150"/>
      <c r="U257" s="150"/>
      <c r="V257" s="150"/>
      <c r="W257" s="797"/>
      <c r="X257" s="150"/>
      <c r="Y257" s="150"/>
      <c r="Z257" s="150"/>
      <c r="AA257" s="150"/>
      <c r="AB257" s="150"/>
      <c r="AC257" s="150">
        <f t="shared" si="25"/>
        <v>0</v>
      </c>
      <c r="AD257" s="150"/>
      <c r="AE257" s="150"/>
      <c r="AF257" s="150"/>
      <c r="AG257" s="150"/>
      <c r="AH257" s="799"/>
      <c r="AI257" s="819"/>
      <c r="AJ257" s="762">
        <f t="shared" si="24"/>
        <v>0</v>
      </c>
    </row>
    <row r="258" spans="1:36" ht="153">
      <c r="A258" s="734" t="s">
        <v>540</v>
      </c>
      <c r="B258" s="149"/>
      <c r="C258" s="148"/>
      <c r="D258" s="149"/>
      <c r="E258" s="4" t="s">
        <v>541</v>
      </c>
      <c r="F258" s="723" t="s">
        <v>163</v>
      </c>
      <c r="G258" s="148" t="s">
        <v>655</v>
      </c>
      <c r="H258" s="100" t="s">
        <v>530</v>
      </c>
      <c r="I258" s="149"/>
      <c r="J258" s="151"/>
      <c r="K258" s="148"/>
      <c r="L258" s="150"/>
      <c r="M258" s="150"/>
      <c r="N258" s="150"/>
      <c r="O258" s="150"/>
      <c r="P258" s="150"/>
      <c r="Q258" s="824"/>
      <c r="R258" s="150"/>
      <c r="S258" s="150"/>
      <c r="T258" s="150"/>
      <c r="U258" s="150"/>
      <c r="V258" s="150"/>
      <c r="W258" s="797"/>
      <c r="X258" s="150"/>
      <c r="Y258" s="150"/>
      <c r="Z258" s="150"/>
      <c r="AA258" s="150"/>
      <c r="AB258" s="150"/>
      <c r="AC258" s="150">
        <f t="shared" si="25"/>
        <v>0</v>
      </c>
      <c r="AD258" s="150"/>
      <c r="AE258" s="150"/>
      <c r="AF258" s="150"/>
      <c r="AG258" s="150"/>
      <c r="AH258" s="799"/>
      <c r="AI258" s="819"/>
      <c r="AJ258" s="762">
        <f t="shared" si="24"/>
        <v>0</v>
      </c>
    </row>
    <row r="259" spans="1:36" ht="127.5">
      <c r="A259" s="735" t="s">
        <v>542</v>
      </c>
      <c r="B259" s="149"/>
      <c r="C259" s="148"/>
      <c r="D259" s="149"/>
      <c r="E259" s="4" t="s">
        <v>543</v>
      </c>
      <c r="F259" s="720" t="s">
        <v>80</v>
      </c>
      <c r="G259" s="708" t="s">
        <v>80</v>
      </c>
      <c r="H259" s="100" t="s">
        <v>544</v>
      </c>
      <c r="I259" s="149"/>
      <c r="J259" s="151"/>
      <c r="K259" s="148"/>
      <c r="L259" s="150"/>
      <c r="M259" s="150"/>
      <c r="N259" s="150"/>
      <c r="O259" s="150"/>
      <c r="P259" s="150"/>
      <c r="Q259" s="824"/>
      <c r="R259" s="150"/>
      <c r="S259" s="150"/>
      <c r="T259" s="150"/>
      <c r="U259" s="150"/>
      <c r="V259" s="150"/>
      <c r="W259" s="797"/>
      <c r="X259" s="150"/>
      <c r="Y259" s="150"/>
      <c r="Z259" s="150"/>
      <c r="AA259" s="150"/>
      <c r="AB259" s="150"/>
      <c r="AC259" s="150">
        <f t="shared" si="25"/>
        <v>0</v>
      </c>
      <c r="AD259" s="150"/>
      <c r="AE259" s="150"/>
      <c r="AF259" s="150"/>
      <c r="AG259" s="150"/>
      <c r="AH259" s="799"/>
      <c r="AI259" s="819"/>
      <c r="AJ259" s="762">
        <f t="shared" si="24"/>
        <v>0</v>
      </c>
    </row>
    <row r="260" spans="1:36" ht="115.5">
      <c r="A260" s="734" t="s">
        <v>545</v>
      </c>
      <c r="B260" s="149"/>
      <c r="C260" s="148"/>
      <c r="D260" s="149"/>
      <c r="E260" s="249" t="s">
        <v>546</v>
      </c>
      <c r="F260" s="720" t="s">
        <v>80</v>
      </c>
      <c r="G260" s="708" t="s">
        <v>80</v>
      </c>
      <c r="H260" s="148"/>
      <c r="I260" s="149"/>
      <c r="J260" s="151"/>
      <c r="K260" s="148"/>
      <c r="L260" s="150"/>
      <c r="M260" s="150"/>
      <c r="N260" s="150"/>
      <c r="O260" s="150"/>
      <c r="P260" s="150"/>
      <c r="Q260" s="824"/>
      <c r="R260" s="150"/>
      <c r="S260" s="150"/>
      <c r="T260" s="150"/>
      <c r="U260" s="150"/>
      <c r="V260" s="150"/>
      <c r="W260" s="797"/>
      <c r="X260" s="150"/>
      <c r="Y260" s="150"/>
      <c r="Z260" s="150"/>
      <c r="AA260" s="150"/>
      <c r="AB260" s="150"/>
      <c r="AC260" s="150">
        <f t="shared" si="25"/>
        <v>0</v>
      </c>
      <c r="AD260" s="150"/>
      <c r="AE260" s="150"/>
      <c r="AF260" s="150"/>
      <c r="AG260" s="150"/>
      <c r="AH260" s="799"/>
      <c r="AI260" s="819"/>
      <c r="AJ260" s="762">
        <f t="shared" si="24"/>
        <v>0</v>
      </c>
    </row>
    <row r="261" spans="1:36" ht="115.5">
      <c r="A261" s="734" t="s">
        <v>547</v>
      </c>
      <c r="B261" s="149"/>
      <c r="C261" s="148"/>
      <c r="D261" s="149"/>
      <c r="E261" s="249" t="s">
        <v>546</v>
      </c>
      <c r="F261" s="720" t="s">
        <v>80</v>
      </c>
      <c r="G261" s="100" t="s">
        <v>80</v>
      </c>
      <c r="H261" s="148"/>
      <c r="I261" s="149"/>
      <c r="J261" s="151"/>
      <c r="K261" s="148"/>
      <c r="L261" s="150"/>
      <c r="M261" s="150"/>
      <c r="N261" s="150"/>
      <c r="O261" s="150"/>
      <c r="P261" s="150"/>
      <c r="Q261" s="824"/>
      <c r="R261" s="150"/>
      <c r="S261" s="150"/>
      <c r="T261" s="150"/>
      <c r="U261" s="150"/>
      <c r="V261" s="150"/>
      <c r="W261" s="797"/>
      <c r="X261" s="150"/>
      <c r="Y261" s="150"/>
      <c r="Z261" s="150"/>
      <c r="AA261" s="150"/>
      <c r="AB261" s="150"/>
      <c r="AC261" s="150">
        <f t="shared" si="25"/>
        <v>0</v>
      </c>
      <c r="AD261" s="150"/>
      <c r="AE261" s="150"/>
      <c r="AF261" s="150"/>
      <c r="AG261" s="150"/>
      <c r="AH261" s="799"/>
      <c r="AI261" s="819"/>
      <c r="AJ261" s="762">
        <f t="shared" si="24"/>
        <v>0</v>
      </c>
    </row>
    <row r="262" spans="1:36">
      <c r="A262" s="4" t="s">
        <v>548</v>
      </c>
      <c r="B262" s="149"/>
      <c r="C262" s="148"/>
      <c r="D262" s="149"/>
      <c r="E262" s="249"/>
      <c r="F262" s="468"/>
      <c r="G262" s="148"/>
      <c r="H262" s="148"/>
      <c r="I262" s="149"/>
      <c r="J262" s="151"/>
      <c r="K262" s="148"/>
      <c r="L262" s="150"/>
      <c r="M262" s="150"/>
      <c r="N262" s="150"/>
      <c r="O262" s="150"/>
      <c r="P262" s="150"/>
      <c r="Q262" s="797"/>
      <c r="R262" s="150"/>
      <c r="S262" s="150"/>
      <c r="T262" s="150"/>
      <c r="U262" s="150"/>
      <c r="V262" s="150"/>
      <c r="W262" s="797"/>
      <c r="X262" s="150"/>
      <c r="Y262" s="150"/>
      <c r="Z262" s="150"/>
      <c r="AA262" s="150"/>
      <c r="AB262" s="150"/>
      <c r="AC262" s="150">
        <f t="shared" si="25"/>
        <v>0</v>
      </c>
      <c r="AD262" s="150"/>
      <c r="AE262" s="150"/>
      <c r="AF262" s="150"/>
      <c r="AG262" s="150"/>
      <c r="AH262" s="799"/>
      <c r="AI262" s="819"/>
      <c r="AJ262" s="762">
        <f t="shared" si="24"/>
        <v>0</v>
      </c>
    </row>
    <row r="263" spans="1:36" ht="25.5">
      <c r="A263" s="247" t="s">
        <v>549</v>
      </c>
      <c r="B263" s="149"/>
      <c r="C263" s="148"/>
      <c r="D263" s="149"/>
      <c r="E263" s="249"/>
      <c r="F263" s="468"/>
      <c r="G263" s="148"/>
      <c r="H263" s="148"/>
      <c r="I263" s="149"/>
      <c r="J263" s="151"/>
      <c r="K263" s="148"/>
      <c r="L263" s="150"/>
      <c r="M263" s="150"/>
      <c r="N263" s="150"/>
      <c r="O263" s="150"/>
      <c r="P263" s="150"/>
      <c r="Q263" s="797"/>
      <c r="R263" s="150"/>
      <c r="S263" s="150"/>
      <c r="T263" s="150"/>
      <c r="U263" s="150"/>
      <c r="V263" s="150"/>
      <c r="W263" s="797"/>
      <c r="X263" s="150"/>
      <c r="Y263" s="150"/>
      <c r="Z263" s="150"/>
      <c r="AA263" s="150"/>
      <c r="AB263" s="150"/>
      <c r="AC263" s="150">
        <f t="shared" si="25"/>
        <v>0</v>
      </c>
      <c r="AD263" s="150"/>
      <c r="AE263" s="150"/>
      <c r="AF263" s="150"/>
      <c r="AG263" s="150"/>
      <c r="AH263" s="799"/>
      <c r="AI263" s="819"/>
      <c r="AJ263" s="762">
        <f t="shared" si="24"/>
        <v>0</v>
      </c>
    </row>
    <row r="264" spans="1:36" ht="89.25">
      <c r="A264" s="733" t="s">
        <v>550</v>
      </c>
      <c r="B264" s="149"/>
      <c r="C264" s="148"/>
      <c r="D264" s="149"/>
      <c r="E264" s="4" t="s">
        <v>551</v>
      </c>
      <c r="F264" s="724" t="s">
        <v>163</v>
      </c>
      <c r="G264" s="148" t="s">
        <v>655</v>
      </c>
      <c r="H264" s="468" t="s">
        <v>527</v>
      </c>
      <c r="I264" s="149"/>
      <c r="J264" s="151"/>
      <c r="K264" s="148"/>
      <c r="L264" s="150"/>
      <c r="M264" s="150"/>
      <c r="N264" s="150"/>
      <c r="O264" s="150"/>
      <c r="P264" s="150"/>
      <c r="Q264" s="797"/>
      <c r="R264" s="825">
        <v>56010</v>
      </c>
      <c r="S264" s="150"/>
      <c r="T264" s="150"/>
      <c r="U264" s="150"/>
      <c r="V264" s="150"/>
      <c r="W264" s="826">
        <f>SUM(R264:V264)</f>
        <v>56010</v>
      </c>
      <c r="X264" s="825">
        <v>528380.62352000002</v>
      </c>
      <c r="Y264" s="150"/>
      <c r="Z264" s="150"/>
      <c r="AA264" s="150"/>
      <c r="AB264" s="150"/>
      <c r="AC264" s="150">
        <f t="shared" si="25"/>
        <v>528380.62352000002</v>
      </c>
      <c r="AD264" s="825">
        <v>924300.41399999999</v>
      </c>
      <c r="AE264" s="150"/>
      <c r="AF264" s="150"/>
      <c r="AG264" s="150"/>
      <c r="AH264" s="799"/>
      <c r="AI264" s="813">
        <f>SUM(AD264:AH264)</f>
        <v>924300.41399999999</v>
      </c>
      <c r="AJ264" s="762">
        <f t="shared" si="24"/>
        <v>1508691.03752</v>
      </c>
    </row>
    <row r="265" spans="1:36" ht="63.75">
      <c r="A265" s="733" t="s">
        <v>552</v>
      </c>
      <c r="B265" s="149"/>
      <c r="C265" s="148"/>
      <c r="D265" s="149"/>
      <c r="E265" s="4" t="s">
        <v>553</v>
      </c>
      <c r="F265" s="723" t="s">
        <v>372</v>
      </c>
      <c r="G265" s="148" t="s">
        <v>372</v>
      </c>
      <c r="H265" s="468" t="s">
        <v>554</v>
      </c>
      <c r="I265" s="149"/>
      <c r="J265" s="151"/>
      <c r="K265" s="148"/>
      <c r="L265" s="827"/>
      <c r="M265" s="150"/>
      <c r="N265" s="150"/>
      <c r="O265" s="150"/>
      <c r="P265" s="150"/>
      <c r="Q265" s="797"/>
      <c r="R265" s="825">
        <v>26798.73</v>
      </c>
      <c r="S265" s="150"/>
      <c r="T265" s="150"/>
      <c r="U265" s="150"/>
      <c r="V265" s="150"/>
      <c r="W265" s="825">
        <f>SUM(R265:V265)</f>
        <v>26798.73</v>
      </c>
      <c r="X265" s="825">
        <v>363662.30670000002</v>
      </c>
      <c r="Y265" s="150"/>
      <c r="Z265" s="150"/>
      <c r="AA265" s="150"/>
      <c r="AB265" s="150"/>
      <c r="AC265" s="825">
        <f>SUM(X265:AB265)</f>
        <v>363662.30670000002</v>
      </c>
      <c r="AD265" s="825">
        <v>165518.51329999999</v>
      </c>
      <c r="AE265" s="150"/>
      <c r="AF265" s="150"/>
      <c r="AG265" s="150"/>
      <c r="AH265" s="799"/>
      <c r="AI265" s="813">
        <f>SUM(AD265:AH265)</f>
        <v>165518.51329999999</v>
      </c>
      <c r="AJ265" s="762">
        <f t="shared" si="24"/>
        <v>555979.55000000005</v>
      </c>
    </row>
    <row r="266" spans="1:36">
      <c r="A266" s="4" t="s">
        <v>555</v>
      </c>
      <c r="B266" s="167"/>
      <c r="C266" s="168"/>
      <c r="D266" s="167"/>
      <c r="E266" s="4"/>
      <c r="F266" s="468"/>
      <c r="G266" s="169"/>
      <c r="H266" s="169"/>
      <c r="I266" s="170"/>
      <c r="J266" s="171"/>
      <c r="K266" s="172"/>
      <c r="L266" s="828"/>
      <c r="M266" s="828"/>
      <c r="N266" s="828"/>
      <c r="O266" s="828"/>
      <c r="P266" s="828"/>
      <c r="Q266" s="797"/>
      <c r="R266" s="828"/>
      <c r="S266" s="828"/>
      <c r="T266" s="828"/>
      <c r="U266" s="828"/>
      <c r="V266" s="828"/>
      <c r="W266" s="797"/>
      <c r="X266" s="828"/>
      <c r="Y266" s="828"/>
      <c r="Z266" s="828"/>
      <c r="AA266" s="828"/>
      <c r="AB266" s="828"/>
      <c r="AC266" s="150">
        <f t="shared" ref="AC266:AC273" si="26">SUM(X266:AB266)</f>
        <v>0</v>
      </c>
      <c r="AD266" s="828"/>
      <c r="AE266" s="828"/>
      <c r="AF266" s="828"/>
      <c r="AG266" s="828"/>
      <c r="AH266" s="829"/>
      <c r="AI266" s="819"/>
      <c r="AJ266" s="762">
        <f t="shared" si="24"/>
        <v>0</v>
      </c>
    </row>
    <row r="267" spans="1:36" ht="25.5">
      <c r="A267" s="259" t="s">
        <v>556</v>
      </c>
      <c r="B267" s="246"/>
      <c r="C267" s="246"/>
      <c r="D267" s="246"/>
      <c r="E267" s="4"/>
      <c r="F267" s="468"/>
      <c r="G267" s="246"/>
      <c r="H267" s="246"/>
      <c r="I267" s="246"/>
      <c r="J267" s="246"/>
      <c r="K267" s="246"/>
      <c r="L267" s="830"/>
      <c r="M267" s="830"/>
      <c r="N267" s="830"/>
      <c r="O267" s="830"/>
      <c r="P267" s="830"/>
      <c r="Q267" s="150"/>
      <c r="R267" s="830"/>
      <c r="S267" s="830"/>
      <c r="T267" s="830"/>
      <c r="U267" s="830"/>
      <c r="V267" s="830"/>
      <c r="W267" s="150"/>
      <c r="X267" s="830"/>
      <c r="Y267" s="830"/>
      <c r="Z267" s="830"/>
      <c r="AA267" s="830"/>
      <c r="AB267" s="830"/>
      <c r="AC267" s="150">
        <f t="shared" si="26"/>
        <v>0</v>
      </c>
      <c r="AD267" s="830"/>
      <c r="AE267" s="830"/>
      <c r="AF267" s="830"/>
      <c r="AG267" s="830"/>
      <c r="AH267" s="831"/>
      <c r="AI267" s="819"/>
      <c r="AJ267" s="762">
        <f t="shared" si="24"/>
        <v>0</v>
      </c>
    </row>
    <row r="268" spans="1:36" ht="192">
      <c r="A268" s="732" t="s">
        <v>557</v>
      </c>
      <c r="B268" s="246"/>
      <c r="C268" s="246"/>
      <c r="D268" s="246"/>
      <c r="E268" s="93" t="s">
        <v>558</v>
      </c>
      <c r="F268" s="722" t="s">
        <v>80</v>
      </c>
      <c r="G268" s="483" t="s">
        <v>80</v>
      </c>
      <c r="H268" s="246"/>
      <c r="I268" s="246"/>
      <c r="J268" s="246"/>
      <c r="K268" s="246"/>
      <c r="L268" s="830"/>
      <c r="M268" s="830"/>
      <c r="N268" s="830"/>
      <c r="O268" s="830"/>
      <c r="P268" s="830"/>
      <c r="Q268" s="150"/>
      <c r="R268" s="830"/>
      <c r="S268" s="830"/>
      <c r="T268" s="830"/>
      <c r="U268" s="830"/>
      <c r="V268" s="830"/>
      <c r="W268" s="150"/>
      <c r="X268" s="830"/>
      <c r="Y268" s="830"/>
      <c r="Z268" s="830"/>
      <c r="AA268" s="830"/>
      <c r="AB268" s="830"/>
      <c r="AC268" s="150">
        <f t="shared" si="26"/>
        <v>0</v>
      </c>
      <c r="AD268" s="830"/>
      <c r="AE268" s="830"/>
      <c r="AF268" s="830"/>
      <c r="AG268" s="830"/>
      <c r="AH268" s="831"/>
      <c r="AI268" s="819"/>
      <c r="AJ268" s="762">
        <f t="shared" si="24"/>
        <v>0</v>
      </c>
    </row>
    <row r="269" spans="1:36" ht="26.25">
      <c r="A269" s="731" t="s">
        <v>559</v>
      </c>
      <c r="B269" s="246"/>
      <c r="C269" s="246"/>
      <c r="D269" s="246"/>
      <c r="E269" s="249"/>
      <c r="F269" s="722" t="s">
        <v>80</v>
      </c>
      <c r="G269" s="483" t="s">
        <v>80</v>
      </c>
      <c r="H269" s="246"/>
      <c r="I269" s="246"/>
      <c r="J269" s="246"/>
      <c r="K269" s="246"/>
      <c r="L269" s="830"/>
      <c r="M269" s="830"/>
      <c r="N269" s="830"/>
      <c r="O269" s="830"/>
      <c r="P269" s="830"/>
      <c r="Q269" s="150"/>
      <c r="R269" s="830"/>
      <c r="S269" s="830"/>
      <c r="T269" s="830"/>
      <c r="U269" s="830"/>
      <c r="V269" s="830"/>
      <c r="W269" s="150"/>
      <c r="X269" s="830"/>
      <c r="Y269" s="830"/>
      <c r="Z269" s="830"/>
      <c r="AA269" s="830"/>
      <c r="AB269" s="830"/>
      <c r="AC269" s="150">
        <f t="shared" si="26"/>
        <v>0</v>
      </c>
      <c r="AD269" s="830"/>
      <c r="AE269" s="830"/>
      <c r="AF269" s="830"/>
      <c r="AG269" s="830"/>
      <c r="AH269" s="831"/>
      <c r="AI269" s="819"/>
      <c r="AJ269" s="762">
        <f t="shared" si="24"/>
        <v>0</v>
      </c>
    </row>
    <row r="270" spans="1:36" ht="25.5">
      <c r="A270" s="730" t="s">
        <v>560</v>
      </c>
      <c r="B270" s="246"/>
      <c r="C270" s="246"/>
      <c r="D270" s="246"/>
      <c r="E270" s="249"/>
      <c r="F270" s="722" t="s">
        <v>80</v>
      </c>
      <c r="G270" s="483" t="s">
        <v>80</v>
      </c>
      <c r="H270" s="246"/>
      <c r="I270" s="246"/>
      <c r="J270" s="246"/>
      <c r="K270" s="246"/>
      <c r="L270" s="830"/>
      <c r="M270" s="830"/>
      <c r="N270" s="830"/>
      <c r="O270" s="830"/>
      <c r="P270" s="830"/>
      <c r="Q270" s="150"/>
      <c r="R270" s="830"/>
      <c r="S270" s="830"/>
      <c r="T270" s="830"/>
      <c r="U270" s="830"/>
      <c r="V270" s="830"/>
      <c r="W270" s="150"/>
      <c r="X270" s="830"/>
      <c r="Y270" s="830"/>
      <c r="Z270" s="830"/>
      <c r="AA270" s="830"/>
      <c r="AB270" s="830"/>
      <c r="AC270" s="150">
        <f t="shared" si="26"/>
        <v>0</v>
      </c>
      <c r="AD270" s="830"/>
      <c r="AE270" s="830"/>
      <c r="AF270" s="830"/>
      <c r="AG270" s="830"/>
      <c r="AH270" s="831"/>
      <c r="AI270" s="819"/>
      <c r="AJ270" s="762">
        <f t="shared" si="24"/>
        <v>0</v>
      </c>
    </row>
    <row r="271" spans="1:36" ht="141">
      <c r="A271" s="730" t="s">
        <v>561</v>
      </c>
      <c r="B271" s="246"/>
      <c r="C271" s="246"/>
      <c r="D271" s="246"/>
      <c r="E271" s="249" t="s">
        <v>562</v>
      </c>
      <c r="F271" s="721" t="s">
        <v>163</v>
      </c>
      <c r="G271" s="246" t="s">
        <v>702</v>
      </c>
      <c r="H271" s="468" t="s">
        <v>563</v>
      </c>
      <c r="I271" s="246"/>
      <c r="J271" s="246"/>
      <c r="K271" s="246"/>
      <c r="L271" s="825">
        <v>15000</v>
      </c>
      <c r="M271" s="812"/>
      <c r="N271" s="812"/>
      <c r="O271" s="812"/>
      <c r="P271" s="812"/>
      <c r="Q271" s="150">
        <f>SUM(L271:P271)</f>
        <v>15000</v>
      </c>
      <c r="R271" s="812"/>
      <c r="S271" s="812"/>
      <c r="T271" s="812"/>
      <c r="U271" s="812"/>
      <c r="V271" s="812"/>
      <c r="W271" s="150"/>
      <c r="X271" s="812"/>
      <c r="Y271" s="812"/>
      <c r="Z271" s="812"/>
      <c r="AA271" s="812"/>
      <c r="AB271" s="812"/>
      <c r="AC271" s="150">
        <f t="shared" si="26"/>
        <v>0</v>
      </c>
      <c r="AD271" s="812"/>
      <c r="AE271" s="812"/>
      <c r="AF271" s="812"/>
      <c r="AG271" s="812"/>
      <c r="AH271" s="832"/>
      <c r="AI271" s="819"/>
      <c r="AJ271" s="762">
        <f t="shared" si="24"/>
        <v>15000</v>
      </c>
    </row>
    <row r="272" spans="1:36">
      <c r="A272" s="263" t="s">
        <v>564</v>
      </c>
      <c r="B272" s="246"/>
      <c r="C272" s="246"/>
      <c r="D272" s="246"/>
      <c r="E272" s="249"/>
      <c r="F272" s="468"/>
      <c r="G272" s="246"/>
      <c r="H272" s="246"/>
      <c r="I272" s="246"/>
      <c r="J272" s="246"/>
      <c r="K272" s="246"/>
      <c r="L272" s="830"/>
      <c r="M272" s="830"/>
      <c r="N272" s="830"/>
      <c r="O272" s="830"/>
      <c r="P272" s="830"/>
      <c r="Q272" s="150"/>
      <c r="R272" s="830"/>
      <c r="S272" s="830"/>
      <c r="T272" s="830"/>
      <c r="U272" s="830"/>
      <c r="V272" s="830"/>
      <c r="W272" s="150"/>
      <c r="X272" s="830"/>
      <c r="Y272" s="830"/>
      <c r="Z272" s="830"/>
      <c r="AA272" s="830"/>
      <c r="AB272" s="830"/>
      <c r="AC272" s="150">
        <f t="shared" si="26"/>
        <v>0</v>
      </c>
      <c r="AD272" s="830"/>
      <c r="AE272" s="830"/>
      <c r="AF272" s="830"/>
      <c r="AG272" s="830"/>
      <c r="AH272" s="831"/>
      <c r="AI272" s="819"/>
      <c r="AJ272" s="762">
        <f t="shared" si="24"/>
        <v>0</v>
      </c>
    </row>
    <row r="273" spans="1:37">
      <c r="A273" s="259" t="s">
        <v>565</v>
      </c>
      <c r="B273" s="246"/>
      <c r="C273" s="246"/>
      <c r="D273" s="246"/>
      <c r="E273" s="249"/>
      <c r="F273" s="90"/>
      <c r="G273" s="246"/>
      <c r="H273" s="246"/>
      <c r="I273" s="246"/>
      <c r="J273" s="246"/>
      <c r="K273" s="246"/>
      <c r="L273" s="830"/>
      <c r="M273" s="830"/>
      <c r="N273" s="830"/>
      <c r="O273" s="830"/>
      <c r="P273" s="830"/>
      <c r="Q273" s="150"/>
      <c r="R273" s="830"/>
      <c r="S273" s="830"/>
      <c r="T273" s="830"/>
      <c r="U273" s="830"/>
      <c r="V273" s="830"/>
      <c r="W273" s="150"/>
      <c r="X273" s="830"/>
      <c r="Y273" s="830"/>
      <c r="Z273" s="830"/>
      <c r="AA273" s="830"/>
      <c r="AB273" s="830"/>
      <c r="AC273" s="150">
        <f t="shared" si="26"/>
        <v>0</v>
      </c>
      <c r="AD273" s="830"/>
      <c r="AE273" s="830"/>
      <c r="AF273" s="830"/>
      <c r="AG273" s="830"/>
      <c r="AH273" s="831"/>
      <c r="AI273" s="819"/>
      <c r="AJ273" s="762">
        <f t="shared" si="24"/>
        <v>0</v>
      </c>
    </row>
    <row r="274" spans="1:37" ht="25.5">
      <c r="A274" s="730" t="s">
        <v>566</v>
      </c>
      <c r="B274" s="246"/>
      <c r="C274" s="246"/>
      <c r="D274" s="246"/>
      <c r="E274" s="249"/>
      <c r="F274" s="720" t="s">
        <v>719</v>
      </c>
      <c r="G274" s="246" t="s">
        <v>699</v>
      </c>
      <c r="H274" s="246"/>
      <c r="I274" s="246"/>
      <c r="J274" s="246"/>
      <c r="K274" s="246"/>
      <c r="L274" s="825">
        <v>1307.6859999999999</v>
      </c>
      <c r="M274" s="830"/>
      <c r="N274" s="830"/>
      <c r="O274" s="830"/>
      <c r="P274" s="830"/>
      <c r="Q274" s="795">
        <f>SUM(L274:P274)</f>
        <v>1307.6859999999999</v>
      </c>
      <c r="R274" s="825">
        <v>1307.6859999999999</v>
      </c>
      <c r="S274" s="812"/>
      <c r="T274" s="812"/>
      <c r="U274" s="812"/>
      <c r="V274" s="812"/>
      <c r="W274" s="150">
        <f>SUM(R274:V274)</f>
        <v>1307.6859999999999</v>
      </c>
      <c r="X274" s="826">
        <v>1307.6859999999999</v>
      </c>
      <c r="Y274" s="812"/>
      <c r="Z274" s="812"/>
      <c r="AA274" s="812"/>
      <c r="AB274" s="812"/>
      <c r="AC274" s="812">
        <f>SUM(X274:AB274)</f>
        <v>1307.6859999999999</v>
      </c>
      <c r="AD274" s="825">
        <v>1307.6859999999999</v>
      </c>
      <c r="AE274" s="812"/>
      <c r="AF274" s="812"/>
      <c r="AG274" s="812"/>
      <c r="AH274" s="832"/>
      <c r="AI274" s="819">
        <f>SUM(AD274:AH274)</f>
        <v>1307.6859999999999</v>
      </c>
      <c r="AJ274" s="762">
        <f t="shared" si="24"/>
        <v>5230.7439999999997</v>
      </c>
    </row>
    <row r="275" spans="1:37" ht="409.6">
      <c r="A275" s="730" t="s">
        <v>571</v>
      </c>
      <c r="B275" s="246"/>
      <c r="C275" s="246"/>
      <c r="D275" s="246"/>
      <c r="E275" s="249" t="s">
        <v>498</v>
      </c>
      <c r="F275" s="719" t="s">
        <v>372</v>
      </c>
      <c r="G275" s="709" t="s">
        <v>372</v>
      </c>
      <c r="H275" s="468" t="s">
        <v>567</v>
      </c>
      <c r="I275" s="246"/>
      <c r="J275" s="246"/>
      <c r="K275" s="246"/>
      <c r="L275" s="830"/>
      <c r="M275" s="830"/>
      <c r="N275" s="830"/>
      <c r="O275" s="830"/>
      <c r="P275" s="830"/>
      <c r="Q275" s="150"/>
      <c r="R275" s="830"/>
      <c r="S275" s="830"/>
      <c r="T275" s="830"/>
      <c r="U275" s="830"/>
      <c r="V275" s="830"/>
      <c r="W275" s="830"/>
      <c r="X275" s="830"/>
      <c r="Y275" s="830"/>
      <c r="Z275" s="830"/>
      <c r="AA275" s="830"/>
      <c r="AB275" s="830"/>
      <c r="AC275" s="830"/>
      <c r="AD275" s="830"/>
      <c r="AE275" s="830"/>
      <c r="AF275" s="830"/>
      <c r="AG275" s="830"/>
      <c r="AH275" s="831"/>
      <c r="AI275" s="819"/>
      <c r="AJ275" s="762">
        <f t="shared" si="24"/>
        <v>0</v>
      </c>
    </row>
    <row r="276" spans="1:37">
      <c r="A276" s="172" t="s">
        <v>568</v>
      </c>
      <c r="B276" s="309"/>
      <c r="C276" s="309"/>
      <c r="D276" s="309"/>
      <c r="E276" s="310"/>
      <c r="F276" s="309"/>
      <c r="G276" s="309"/>
      <c r="H276" s="309"/>
      <c r="I276" s="309"/>
      <c r="J276" s="309"/>
      <c r="K276" s="309"/>
      <c r="L276" s="311">
        <v>20773</v>
      </c>
      <c r="M276" s="309"/>
      <c r="N276" s="309"/>
      <c r="O276" s="311">
        <v>19900</v>
      </c>
      <c r="P276" s="309"/>
      <c r="Q276" s="312">
        <v>40673</v>
      </c>
      <c r="R276" s="311">
        <v>99115</v>
      </c>
      <c r="S276" s="309"/>
      <c r="T276" s="309"/>
      <c r="U276" s="309"/>
      <c r="V276" s="309"/>
      <c r="W276" s="311">
        <v>99115</v>
      </c>
      <c r="X276" s="311">
        <v>908349</v>
      </c>
      <c r="Y276" s="309"/>
      <c r="Z276" s="309"/>
      <c r="AA276" s="309"/>
      <c r="AB276" s="309"/>
      <c r="AC276" s="311">
        <v>908349</v>
      </c>
      <c r="AD276" s="311">
        <v>1106125</v>
      </c>
      <c r="AE276" s="309"/>
      <c r="AF276" s="309"/>
      <c r="AG276" s="309"/>
      <c r="AH276" s="347"/>
      <c r="AI276" s="348">
        <v>1106125</v>
      </c>
      <c r="AJ276" s="774">
        <v>2154262</v>
      </c>
    </row>
    <row r="277" spans="1:37">
      <c r="A277" s="295"/>
      <c r="B277" s="431"/>
      <c r="C277" s="431"/>
      <c r="D277" s="431"/>
      <c r="E277" s="432"/>
      <c r="F277" s="431"/>
      <c r="G277" s="431"/>
      <c r="H277" s="431"/>
      <c r="I277" s="431"/>
      <c r="J277" s="431"/>
      <c r="K277" s="431"/>
      <c r="L277" s="435">
        <f>SUM(L224:L275)</f>
        <v>45623.686000000002</v>
      </c>
      <c r="M277" s="435">
        <f t="shared" ref="M277:AH277" si="27">SUM(M224:M275)</f>
        <v>0</v>
      </c>
      <c r="N277" s="435">
        <f t="shared" si="27"/>
        <v>0</v>
      </c>
      <c r="O277" s="435">
        <f t="shared" si="27"/>
        <v>19900</v>
      </c>
      <c r="P277" s="435">
        <f t="shared" si="27"/>
        <v>0</v>
      </c>
      <c r="Q277" s="435">
        <f>SUM(Q224:Q275)</f>
        <v>65523.686000000002</v>
      </c>
      <c r="R277" s="435">
        <f>SUM(R224:R275)</f>
        <v>143316.416</v>
      </c>
      <c r="S277" s="435">
        <f t="shared" si="27"/>
        <v>0</v>
      </c>
      <c r="T277" s="435">
        <f t="shared" si="27"/>
        <v>0</v>
      </c>
      <c r="U277" s="435">
        <f t="shared" si="27"/>
        <v>0</v>
      </c>
      <c r="V277" s="435">
        <f t="shared" si="27"/>
        <v>0</v>
      </c>
      <c r="W277" s="435">
        <f t="shared" si="27"/>
        <v>143316.416</v>
      </c>
      <c r="X277" s="435">
        <f t="shared" si="27"/>
        <v>908350.61621999997</v>
      </c>
      <c r="Y277" s="435">
        <f t="shared" si="27"/>
        <v>0</v>
      </c>
      <c r="Z277" s="435">
        <f t="shared" si="27"/>
        <v>0</v>
      </c>
      <c r="AA277" s="435">
        <f t="shared" si="27"/>
        <v>0</v>
      </c>
      <c r="AB277" s="435">
        <f t="shared" si="27"/>
        <v>0</v>
      </c>
      <c r="AC277" s="435">
        <f t="shared" si="27"/>
        <v>908350.61621999997</v>
      </c>
      <c r="AD277" s="435">
        <f>SUM(AD224:AD275)</f>
        <v>1106126.6133000001</v>
      </c>
      <c r="AE277" s="435">
        <f t="shared" si="27"/>
        <v>0</v>
      </c>
      <c r="AF277" s="435">
        <f t="shared" si="27"/>
        <v>0</v>
      </c>
      <c r="AG277" s="435">
        <f t="shared" si="27"/>
        <v>0</v>
      </c>
      <c r="AH277" s="435">
        <f t="shared" si="27"/>
        <v>0</v>
      </c>
      <c r="AI277" s="435">
        <f>SUM(AI224:AI275)</f>
        <v>1106126.6133000001</v>
      </c>
      <c r="AJ277" s="782">
        <f>SUM(AI277+AC277+W277+Q277)</f>
        <v>2223317.3315200005</v>
      </c>
      <c r="AK277" s="433"/>
    </row>
    <row r="278" spans="1:37">
      <c r="A278" s="295"/>
      <c r="B278" s="431"/>
      <c r="C278" s="431"/>
      <c r="D278" s="431"/>
      <c r="E278" s="432"/>
      <c r="F278" s="431"/>
      <c r="G278" s="431"/>
      <c r="H278" s="431"/>
      <c r="I278" s="431"/>
      <c r="J278" s="431"/>
      <c r="K278" s="431"/>
      <c r="L278" s="433"/>
      <c r="M278" s="431"/>
      <c r="N278" s="431"/>
      <c r="O278" s="433"/>
      <c r="P278" s="431"/>
      <c r="Q278" s="434">
        <f>SUM(L277:P277)</f>
        <v>65523.686000000002</v>
      </c>
      <c r="R278" s="433"/>
      <c r="S278" s="431"/>
      <c r="T278" s="431"/>
      <c r="U278" s="431"/>
      <c r="V278" s="431"/>
      <c r="W278" s="433"/>
      <c r="X278" s="433"/>
      <c r="Y278" s="431"/>
      <c r="Z278" s="431"/>
      <c r="AA278" s="431"/>
      <c r="AB278" s="431"/>
      <c r="AC278" s="433"/>
      <c r="AD278" s="433"/>
      <c r="AE278" s="431"/>
      <c r="AF278" s="431"/>
      <c r="AG278" s="431"/>
      <c r="AH278" s="431"/>
      <c r="AI278" s="422"/>
      <c r="AJ278" s="783"/>
    </row>
    <row r="279" spans="1:37">
      <c r="A279" s="295"/>
      <c r="B279" s="296"/>
      <c r="C279" s="296"/>
      <c r="D279" s="296"/>
      <c r="E279" s="297"/>
      <c r="F279" s="296"/>
      <c r="G279" s="296"/>
      <c r="H279" s="296"/>
      <c r="I279" s="296"/>
      <c r="J279" s="296"/>
      <c r="K279" s="296"/>
      <c r="L279" s="296"/>
      <c r="M279" s="296"/>
      <c r="N279" s="296"/>
      <c r="O279" s="296"/>
      <c r="P279" s="296"/>
      <c r="Q279" s="157"/>
      <c r="R279" s="296"/>
      <c r="S279" s="296"/>
      <c r="T279" s="296"/>
      <c r="U279" s="296"/>
      <c r="V279" s="296"/>
      <c r="W279" s="296"/>
      <c r="X279" s="296"/>
      <c r="Y279" s="296"/>
      <c r="Z279" s="296"/>
      <c r="AA279" s="296"/>
      <c r="AB279" s="296"/>
      <c r="AC279" s="296"/>
      <c r="AD279" s="296"/>
      <c r="AE279" s="296"/>
      <c r="AF279" s="296"/>
      <c r="AG279" s="296"/>
      <c r="AH279" s="296"/>
      <c r="AJ279" s="757"/>
    </row>
    <row r="280" spans="1:37" ht="25.5">
      <c r="A280" s="718" t="s">
        <v>723</v>
      </c>
      <c r="B280" s="296"/>
      <c r="C280" s="296"/>
      <c r="D280" s="296"/>
      <c r="E280" s="297"/>
      <c r="F280" s="296"/>
      <c r="G280" s="296"/>
      <c r="H280" s="296"/>
      <c r="I280" s="296"/>
      <c r="J280" s="296"/>
      <c r="K280" s="296"/>
      <c r="L280" s="296"/>
      <c r="M280" s="296"/>
      <c r="N280" s="296"/>
      <c r="O280" s="296"/>
      <c r="P280" s="296"/>
      <c r="Q280" s="157"/>
      <c r="R280" s="296"/>
      <c r="S280" s="296"/>
      <c r="T280" s="296"/>
      <c r="U280" s="296"/>
      <c r="V280" s="296"/>
      <c r="W280" s="296"/>
      <c r="X280" s="296"/>
      <c r="Y280" s="296"/>
      <c r="Z280" s="296"/>
      <c r="AA280" s="296"/>
      <c r="AB280" s="296"/>
      <c r="AC280" s="296"/>
      <c r="AD280" s="296"/>
      <c r="AE280" s="296"/>
      <c r="AF280" s="296"/>
      <c r="AG280" s="296"/>
      <c r="AH280" s="296"/>
      <c r="AJ280" s="757"/>
    </row>
    <row r="281" spans="1:37">
      <c r="AJ281" s="757"/>
    </row>
    <row r="282" spans="1:37" ht="46.5" customHeight="1">
      <c r="A282" s="1078" t="s">
        <v>572</v>
      </c>
      <c r="B282" s="1078" t="s">
        <v>0</v>
      </c>
      <c r="C282" s="1078" t="s">
        <v>573</v>
      </c>
      <c r="D282" s="1081" t="s">
        <v>5</v>
      </c>
      <c r="E282" s="1082"/>
      <c r="F282" s="1078" t="s">
        <v>22</v>
      </c>
      <c r="G282" s="1083" t="s">
        <v>211</v>
      </c>
      <c r="H282" s="1083" t="s">
        <v>212</v>
      </c>
      <c r="I282" s="1083" t="s">
        <v>574</v>
      </c>
      <c r="J282" s="1181" t="s">
        <v>575</v>
      </c>
      <c r="K282" s="1181"/>
      <c r="L282" s="1181"/>
      <c r="M282" s="1181"/>
      <c r="N282" s="1181"/>
      <c r="O282" s="1181"/>
      <c r="P282" s="1181" t="s">
        <v>575</v>
      </c>
      <c r="Q282" s="1181"/>
      <c r="R282" s="1181"/>
      <c r="S282" s="1181"/>
      <c r="T282" s="1181"/>
      <c r="U282" s="1181"/>
      <c r="V282" s="1181" t="s">
        <v>575</v>
      </c>
      <c r="W282" s="1181"/>
      <c r="X282" s="1181"/>
      <c r="Y282" s="1181"/>
      <c r="Z282" s="1181"/>
      <c r="AA282" s="1181"/>
      <c r="AB282" s="1181" t="s">
        <v>575</v>
      </c>
      <c r="AC282" s="1181"/>
      <c r="AD282" s="1181"/>
      <c r="AE282" s="1181"/>
      <c r="AF282" s="1181"/>
      <c r="AG282" s="1181"/>
      <c r="AH282" s="460" t="s">
        <v>575</v>
      </c>
      <c r="AJ282" s="757"/>
    </row>
    <row r="283" spans="1:37" ht="15" customHeight="1">
      <c r="A283" s="1079"/>
      <c r="B283" s="1079"/>
      <c r="C283" s="1079"/>
      <c r="D283" s="1073" t="s">
        <v>576</v>
      </c>
      <c r="E283" s="1073" t="s">
        <v>6</v>
      </c>
      <c r="F283" s="1079"/>
      <c r="G283" s="1083"/>
      <c r="H283" s="1083"/>
      <c r="I283" s="1083"/>
      <c r="J283" s="1180" t="s">
        <v>12</v>
      </c>
      <c r="K283" s="1180"/>
      <c r="L283" s="1180"/>
      <c r="M283" s="1180"/>
      <c r="N283" s="1180"/>
      <c r="O283" s="1180"/>
      <c r="P283" s="1180" t="s">
        <v>13</v>
      </c>
      <c r="Q283" s="1180"/>
      <c r="R283" s="1180"/>
      <c r="S283" s="1180"/>
      <c r="T283" s="1180"/>
      <c r="U283" s="1180"/>
      <c r="V283" s="1180" t="s">
        <v>14</v>
      </c>
      <c r="W283" s="1180"/>
      <c r="X283" s="1180"/>
      <c r="Y283" s="1180"/>
      <c r="Z283" s="1180"/>
      <c r="AA283" s="1180"/>
      <c r="AB283" s="1180" t="s">
        <v>15</v>
      </c>
      <c r="AC283" s="1180"/>
      <c r="AD283" s="1180"/>
      <c r="AE283" s="1180"/>
      <c r="AF283" s="1180"/>
      <c r="AG283" s="1180"/>
      <c r="AH283" s="460" t="s">
        <v>577</v>
      </c>
      <c r="AJ283" s="757"/>
    </row>
    <row r="284" spans="1:37" ht="49.5" customHeight="1">
      <c r="A284" s="1080"/>
      <c r="B284" s="1080"/>
      <c r="C284" s="1080"/>
      <c r="D284" s="1074"/>
      <c r="E284" s="1074"/>
      <c r="F284" s="1080"/>
      <c r="G284" s="1083"/>
      <c r="H284" s="1083"/>
      <c r="I284" s="1083"/>
      <c r="J284" s="480" t="s">
        <v>1</v>
      </c>
      <c r="K284" s="480" t="s">
        <v>9</v>
      </c>
      <c r="L284" s="480" t="s">
        <v>3</v>
      </c>
      <c r="M284" s="480" t="s">
        <v>17</v>
      </c>
      <c r="N284" s="480" t="s">
        <v>19</v>
      </c>
      <c r="O284" s="480" t="s">
        <v>4</v>
      </c>
      <c r="P284" s="480" t="s">
        <v>1</v>
      </c>
      <c r="Q284" s="480" t="s">
        <v>9</v>
      </c>
      <c r="R284" s="480" t="s">
        <v>3</v>
      </c>
      <c r="S284" s="480" t="s">
        <v>17</v>
      </c>
      <c r="T284" s="480" t="s">
        <v>19</v>
      </c>
      <c r="U284" s="480" t="s">
        <v>4</v>
      </c>
      <c r="V284" s="480" t="s">
        <v>1</v>
      </c>
      <c r="W284" s="480" t="s">
        <v>9</v>
      </c>
      <c r="X284" s="480" t="s">
        <v>285</v>
      </c>
      <c r="Y284" s="480" t="s">
        <v>17</v>
      </c>
      <c r="Z284" s="480" t="s">
        <v>19</v>
      </c>
      <c r="AA284" s="480" t="s">
        <v>4</v>
      </c>
      <c r="AB284" s="480" t="s">
        <v>1</v>
      </c>
      <c r="AC284" s="480" t="s">
        <v>9</v>
      </c>
      <c r="AD284" s="480" t="s">
        <v>3</v>
      </c>
      <c r="AE284" s="480" t="s">
        <v>17</v>
      </c>
      <c r="AF284" s="480" t="s">
        <v>19</v>
      </c>
      <c r="AG284" s="480" t="s">
        <v>4</v>
      </c>
      <c r="AH284" s="480" t="s">
        <v>577</v>
      </c>
      <c r="AJ284" s="757"/>
    </row>
    <row r="285" spans="1:37">
      <c r="A285" s="457"/>
      <c r="B285" s="457" t="s">
        <v>33</v>
      </c>
      <c r="C285" s="269" t="s">
        <v>34</v>
      </c>
      <c r="D285" s="269" t="s">
        <v>45</v>
      </c>
      <c r="E285" s="459" t="s">
        <v>35</v>
      </c>
      <c r="F285" s="457" t="s">
        <v>36</v>
      </c>
      <c r="G285" s="457" t="s">
        <v>37</v>
      </c>
      <c r="H285" s="457" t="s">
        <v>38</v>
      </c>
      <c r="I285" s="457" t="s">
        <v>39</v>
      </c>
      <c r="J285" s="11" t="s">
        <v>40</v>
      </c>
      <c r="K285" s="11" t="s">
        <v>41</v>
      </c>
      <c r="L285" s="11" t="s">
        <v>221</v>
      </c>
      <c r="M285" s="11" t="s">
        <v>222</v>
      </c>
      <c r="N285" s="11" t="s">
        <v>223</v>
      </c>
      <c r="O285" s="11" t="s">
        <v>224</v>
      </c>
      <c r="P285" s="11" t="s">
        <v>225</v>
      </c>
      <c r="Q285" s="11" t="s">
        <v>578</v>
      </c>
      <c r="R285" s="11" t="s">
        <v>227</v>
      </c>
      <c r="S285" s="11" t="s">
        <v>286</v>
      </c>
      <c r="T285" s="11" t="s">
        <v>229</v>
      </c>
      <c r="U285" s="11" t="s">
        <v>230</v>
      </c>
      <c r="V285" s="11" t="s">
        <v>231</v>
      </c>
      <c r="W285" s="11" t="s">
        <v>232</v>
      </c>
      <c r="X285" s="11" t="s">
        <v>233</v>
      </c>
      <c r="Y285" s="11" t="s">
        <v>234</v>
      </c>
      <c r="Z285" s="11" t="s">
        <v>235</v>
      </c>
      <c r="AA285" s="11" t="s">
        <v>236</v>
      </c>
      <c r="AB285" s="11" t="s">
        <v>237</v>
      </c>
      <c r="AC285" s="11" t="s">
        <v>238</v>
      </c>
      <c r="AD285" s="11" t="s">
        <v>239</v>
      </c>
      <c r="AE285" s="11" t="s">
        <v>240</v>
      </c>
      <c r="AF285" s="11" t="s">
        <v>241</v>
      </c>
      <c r="AG285" s="11" t="s">
        <v>242</v>
      </c>
      <c r="AH285" s="271" t="s">
        <v>243</v>
      </c>
      <c r="AJ285" s="757"/>
    </row>
    <row r="286" spans="1:37">
      <c r="A286" s="272" t="s">
        <v>287</v>
      </c>
      <c r="B286" s="273"/>
      <c r="C286" s="273"/>
      <c r="D286" s="688"/>
      <c r="E286" s="688"/>
      <c r="F286" s="58"/>
      <c r="G286" s="273"/>
      <c r="H286" s="273"/>
      <c r="I286" s="273"/>
      <c r="J286" s="833"/>
      <c r="K286" s="833"/>
      <c r="L286" s="833"/>
      <c r="M286" s="833"/>
      <c r="N286" s="833"/>
      <c r="O286" s="833"/>
      <c r="P286" s="17"/>
      <c r="Q286" s="17"/>
      <c r="R286" s="17"/>
      <c r="S286" s="17"/>
      <c r="T286" s="17"/>
      <c r="U286" s="17"/>
      <c r="V286" s="17"/>
      <c r="W286" s="17"/>
      <c r="X286" s="17"/>
      <c r="Y286" s="17"/>
      <c r="Z286" s="17"/>
      <c r="AA286" s="17"/>
      <c r="AB286" s="17"/>
      <c r="AC286" s="17"/>
      <c r="AD286" s="17"/>
      <c r="AE286" s="17"/>
      <c r="AF286" s="17"/>
      <c r="AG286" s="17"/>
      <c r="AH286" s="17">
        <f>+O286+U286+AA286+AG286</f>
        <v>0</v>
      </c>
      <c r="AJ286" s="757"/>
    </row>
    <row r="287" spans="1:37" ht="26.25">
      <c r="A287" s="276" t="s">
        <v>579</v>
      </c>
      <c r="B287" s="273"/>
      <c r="C287" s="273"/>
      <c r="D287" s="688"/>
      <c r="E287" s="688"/>
      <c r="F287" s="58"/>
      <c r="G287" s="273"/>
      <c r="H287" s="273"/>
      <c r="I287" s="273"/>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f t="shared" ref="AH287:AH335" si="28">+O287+U287+AA287+AG287</f>
        <v>0</v>
      </c>
      <c r="AJ287" s="757"/>
    </row>
    <row r="288" spans="1:37">
      <c r="A288" s="277" t="s">
        <v>580</v>
      </c>
      <c r="B288" s="273"/>
      <c r="C288" s="273"/>
      <c r="D288" s="688"/>
      <c r="E288" s="688"/>
      <c r="F288" s="58"/>
      <c r="G288" s="273"/>
      <c r="H288" s="273"/>
      <c r="I288" s="273"/>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f t="shared" si="28"/>
        <v>0</v>
      </c>
      <c r="AJ288" s="757"/>
    </row>
    <row r="289" spans="1:36">
      <c r="A289" s="277" t="s">
        <v>581</v>
      </c>
      <c r="B289" s="273"/>
      <c r="C289" s="273"/>
      <c r="D289" s="688"/>
      <c r="E289" s="688"/>
      <c r="F289" s="58"/>
      <c r="G289" s="273"/>
      <c r="H289" s="273"/>
      <c r="I289" s="273"/>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f t="shared" si="28"/>
        <v>0</v>
      </c>
      <c r="AJ289" s="757"/>
    </row>
    <row r="290" spans="1:36">
      <c r="A290" s="278" t="s">
        <v>16</v>
      </c>
      <c r="B290" s="279"/>
      <c r="C290" s="279"/>
      <c r="D290" s="689"/>
      <c r="E290" s="689"/>
      <c r="F290" s="58"/>
      <c r="G290" s="280"/>
      <c r="H290" s="280"/>
      <c r="I290" s="280"/>
      <c r="J290" s="754"/>
      <c r="K290" s="754"/>
      <c r="L290" s="754"/>
      <c r="M290" s="754"/>
      <c r="N290" s="754"/>
      <c r="O290" s="754"/>
      <c r="P290" s="754"/>
      <c r="Q290" s="754"/>
      <c r="R290" s="754"/>
      <c r="S290" s="754"/>
      <c r="T290" s="754"/>
      <c r="U290" s="754"/>
      <c r="V290" s="754"/>
      <c r="W290" s="754"/>
      <c r="X290" s="754"/>
      <c r="Y290" s="754"/>
      <c r="Z290" s="754"/>
      <c r="AA290" s="754"/>
      <c r="AB290" s="754"/>
      <c r="AC290" s="754"/>
      <c r="AD290" s="754"/>
      <c r="AE290" s="754"/>
      <c r="AF290" s="754"/>
      <c r="AG290" s="754"/>
      <c r="AH290" s="17">
        <f t="shared" si="28"/>
        <v>0</v>
      </c>
      <c r="AJ290" s="757"/>
    </row>
    <row r="291" spans="1:36" ht="38.25">
      <c r="A291" s="76" t="s">
        <v>582</v>
      </c>
      <c r="B291" s="279"/>
      <c r="C291" s="279"/>
      <c r="D291" s="689"/>
      <c r="E291" s="689"/>
      <c r="F291" s="58"/>
      <c r="G291" s="280"/>
      <c r="H291" s="280"/>
      <c r="I291" s="280"/>
      <c r="J291" s="754"/>
      <c r="K291" s="754"/>
      <c r="L291" s="754"/>
      <c r="M291" s="754"/>
      <c r="N291" s="754"/>
      <c r="O291" s="754"/>
      <c r="P291" s="754"/>
      <c r="Q291" s="754"/>
      <c r="R291" s="754"/>
      <c r="S291" s="754"/>
      <c r="T291" s="754"/>
      <c r="U291" s="754"/>
      <c r="V291" s="754"/>
      <c r="W291" s="754"/>
      <c r="X291" s="754"/>
      <c r="Y291" s="754"/>
      <c r="Z291" s="754"/>
      <c r="AA291" s="754"/>
      <c r="AB291" s="754"/>
      <c r="AC291" s="754"/>
      <c r="AD291" s="754"/>
      <c r="AE291" s="754"/>
      <c r="AF291" s="754"/>
      <c r="AG291" s="754"/>
      <c r="AH291" s="17">
        <f t="shared" si="28"/>
        <v>0</v>
      </c>
      <c r="AJ291" s="757"/>
    </row>
    <row r="292" spans="1:36">
      <c r="A292" s="281" t="s">
        <v>362</v>
      </c>
      <c r="B292" s="279"/>
      <c r="C292" s="279"/>
      <c r="D292" s="689"/>
      <c r="E292" s="689"/>
      <c r="F292" s="58"/>
      <c r="G292" s="280"/>
      <c r="H292" s="280"/>
      <c r="I292" s="280"/>
      <c r="J292" s="754"/>
      <c r="K292" s="754"/>
      <c r="L292" s="754"/>
      <c r="M292" s="754"/>
      <c r="N292" s="754"/>
      <c r="O292" s="754"/>
      <c r="P292" s="754"/>
      <c r="Q292" s="754"/>
      <c r="R292" s="754"/>
      <c r="S292" s="754"/>
      <c r="T292" s="754"/>
      <c r="U292" s="754"/>
      <c r="V292" s="754"/>
      <c r="W292" s="754"/>
      <c r="X292" s="754"/>
      <c r="Y292" s="754"/>
      <c r="Z292" s="754"/>
      <c r="AA292" s="754"/>
      <c r="AB292" s="754"/>
      <c r="AC292" s="754"/>
      <c r="AD292" s="754"/>
      <c r="AE292" s="754"/>
      <c r="AF292" s="754"/>
      <c r="AG292" s="754"/>
      <c r="AH292" s="17">
        <f t="shared" si="28"/>
        <v>0</v>
      </c>
      <c r="AJ292" s="757"/>
    </row>
    <row r="293" spans="1:36" ht="25.5">
      <c r="A293" s="715" t="s">
        <v>583</v>
      </c>
      <c r="B293" s="58"/>
      <c r="C293" s="58"/>
      <c r="D293" s="689"/>
      <c r="E293" s="689"/>
      <c r="F293" s="58"/>
      <c r="G293" s="280"/>
      <c r="H293" s="280"/>
      <c r="I293" s="280"/>
      <c r="J293" s="754"/>
      <c r="K293" s="754"/>
      <c r="L293" s="754"/>
      <c r="M293" s="754"/>
      <c r="N293" s="754"/>
      <c r="O293" s="754"/>
      <c r="P293" s="754"/>
      <c r="Q293" s="754"/>
      <c r="R293" s="754"/>
      <c r="S293" s="754"/>
      <c r="T293" s="754"/>
      <c r="U293" s="754"/>
      <c r="V293" s="754"/>
      <c r="W293" s="754"/>
      <c r="X293" s="754"/>
      <c r="Y293" s="754"/>
      <c r="Z293" s="754"/>
      <c r="AA293" s="754"/>
      <c r="AB293" s="754"/>
      <c r="AC293" s="754"/>
      <c r="AD293" s="754"/>
      <c r="AE293" s="754"/>
      <c r="AF293" s="754"/>
      <c r="AG293" s="754"/>
      <c r="AH293" s="17">
        <f t="shared" si="28"/>
        <v>0</v>
      </c>
      <c r="AJ293" s="757"/>
    </row>
    <row r="294" spans="1:36">
      <c r="A294" s="277" t="s">
        <v>584</v>
      </c>
      <c r="B294" s="58"/>
      <c r="C294" s="58"/>
      <c r="D294" s="552"/>
      <c r="E294" s="552"/>
      <c r="F294" s="58"/>
      <c r="G294" s="280"/>
      <c r="H294" s="280"/>
      <c r="I294" s="280"/>
      <c r="J294" s="754"/>
      <c r="K294" s="754"/>
      <c r="L294" s="754"/>
      <c r="M294" s="754"/>
      <c r="N294" s="754"/>
      <c r="O294" s="754"/>
      <c r="P294" s="754"/>
      <c r="Q294" s="754"/>
      <c r="R294" s="754"/>
      <c r="S294" s="754"/>
      <c r="T294" s="754"/>
      <c r="U294" s="754"/>
      <c r="V294" s="754"/>
      <c r="W294" s="754"/>
      <c r="X294" s="754"/>
      <c r="Y294" s="754"/>
      <c r="Z294" s="754"/>
      <c r="AA294" s="754"/>
      <c r="AB294" s="754"/>
      <c r="AC294" s="754"/>
      <c r="AD294" s="754"/>
      <c r="AE294" s="754"/>
      <c r="AF294" s="754"/>
      <c r="AG294" s="754"/>
      <c r="AH294" s="17">
        <f t="shared" si="28"/>
        <v>0</v>
      </c>
      <c r="AJ294" s="757"/>
    </row>
    <row r="295" spans="1:36" ht="25.5">
      <c r="A295" s="76" t="s">
        <v>585</v>
      </c>
      <c r="B295" s="58"/>
      <c r="C295" s="58"/>
      <c r="D295" s="552"/>
      <c r="E295" s="552"/>
      <c r="F295" s="58"/>
      <c r="G295" s="280"/>
      <c r="H295" s="280"/>
      <c r="I295" s="280"/>
      <c r="J295" s="754"/>
      <c r="K295" s="754"/>
      <c r="L295" s="754"/>
      <c r="M295" s="754"/>
      <c r="N295" s="754"/>
      <c r="O295" s="754"/>
      <c r="P295" s="754"/>
      <c r="Q295" s="754"/>
      <c r="R295" s="754"/>
      <c r="S295" s="754"/>
      <c r="T295" s="754"/>
      <c r="U295" s="754"/>
      <c r="V295" s="754"/>
      <c r="W295" s="754"/>
      <c r="X295" s="754"/>
      <c r="Y295" s="754"/>
      <c r="Z295" s="754"/>
      <c r="AA295" s="754"/>
      <c r="AB295" s="754"/>
      <c r="AC295" s="754"/>
      <c r="AD295" s="754"/>
      <c r="AE295" s="754"/>
      <c r="AF295" s="754"/>
      <c r="AG295" s="754"/>
      <c r="AH295" s="17">
        <f t="shared" si="28"/>
        <v>0</v>
      </c>
      <c r="AJ295" s="757"/>
    </row>
    <row r="296" spans="1:36">
      <c r="A296" s="277" t="s">
        <v>586</v>
      </c>
      <c r="B296" s="58"/>
      <c r="C296" s="58"/>
      <c r="D296" s="552"/>
      <c r="E296" s="552"/>
      <c r="F296" s="58"/>
      <c r="G296" s="280"/>
      <c r="H296" s="280"/>
      <c r="I296" s="280"/>
      <c r="J296" s="754"/>
      <c r="K296" s="754"/>
      <c r="L296" s="754"/>
      <c r="M296" s="754"/>
      <c r="N296" s="754"/>
      <c r="O296" s="754"/>
      <c r="P296" s="754"/>
      <c r="Q296" s="754"/>
      <c r="R296" s="754"/>
      <c r="S296" s="754"/>
      <c r="T296" s="754"/>
      <c r="U296" s="754"/>
      <c r="V296" s="754"/>
      <c r="W296" s="754"/>
      <c r="X296" s="754"/>
      <c r="Y296" s="754"/>
      <c r="Z296" s="754"/>
      <c r="AA296" s="754"/>
      <c r="AB296" s="754"/>
      <c r="AC296" s="754"/>
      <c r="AD296" s="754"/>
      <c r="AE296" s="754"/>
      <c r="AF296" s="754"/>
      <c r="AG296" s="754"/>
      <c r="AH296" s="17">
        <f t="shared" si="28"/>
        <v>0</v>
      </c>
      <c r="AJ296" s="757"/>
    </row>
    <row r="297" spans="1:36" ht="38.25">
      <c r="A297" s="76" t="s">
        <v>587</v>
      </c>
      <c r="B297" s="58"/>
      <c r="C297" s="58"/>
      <c r="D297" s="552"/>
      <c r="E297" s="552"/>
      <c r="F297" s="58"/>
      <c r="G297" s="280"/>
      <c r="H297" s="280"/>
      <c r="I297" s="280"/>
      <c r="J297" s="754"/>
      <c r="K297" s="754"/>
      <c r="L297" s="754"/>
      <c r="M297" s="754"/>
      <c r="N297" s="754"/>
      <c r="O297" s="754"/>
      <c r="P297" s="754"/>
      <c r="Q297" s="754"/>
      <c r="R297" s="754"/>
      <c r="S297" s="754"/>
      <c r="T297" s="754"/>
      <c r="U297" s="754"/>
      <c r="V297" s="754"/>
      <c r="W297" s="754"/>
      <c r="X297" s="754"/>
      <c r="Y297" s="754"/>
      <c r="Z297" s="754"/>
      <c r="AA297" s="754"/>
      <c r="AB297" s="754"/>
      <c r="AC297" s="754"/>
      <c r="AD297" s="754"/>
      <c r="AE297" s="754"/>
      <c r="AF297" s="754"/>
      <c r="AG297" s="754"/>
      <c r="AH297" s="17">
        <f t="shared" si="28"/>
        <v>0</v>
      </c>
      <c r="AJ297" s="757"/>
    </row>
    <row r="298" spans="1:36">
      <c r="A298" s="278" t="s">
        <v>16</v>
      </c>
      <c r="B298" s="279"/>
      <c r="C298" s="279"/>
      <c r="D298" s="689"/>
      <c r="E298" s="689"/>
      <c r="F298" s="58"/>
      <c r="G298" s="280"/>
      <c r="H298" s="280"/>
      <c r="I298" s="280"/>
      <c r="J298" s="754"/>
      <c r="K298" s="754"/>
      <c r="L298" s="754"/>
      <c r="M298" s="754"/>
      <c r="N298" s="754"/>
      <c r="O298" s="754"/>
      <c r="P298" s="754"/>
      <c r="Q298" s="754"/>
      <c r="R298" s="754"/>
      <c r="S298" s="754"/>
      <c r="T298" s="754"/>
      <c r="U298" s="754"/>
      <c r="V298" s="754"/>
      <c r="W298" s="754"/>
      <c r="X298" s="754"/>
      <c r="Y298" s="754"/>
      <c r="Z298" s="754"/>
      <c r="AA298" s="754"/>
      <c r="AB298" s="754"/>
      <c r="AC298" s="754"/>
      <c r="AD298" s="754"/>
      <c r="AE298" s="754"/>
      <c r="AF298" s="754"/>
      <c r="AG298" s="754"/>
      <c r="AH298" s="17">
        <f t="shared" si="28"/>
        <v>0</v>
      </c>
      <c r="AJ298" s="757"/>
    </row>
    <row r="299" spans="1:36" ht="38.25">
      <c r="A299" s="715" t="s">
        <v>582</v>
      </c>
      <c r="B299" s="279"/>
      <c r="C299" s="279"/>
      <c r="D299" s="689"/>
      <c r="E299" s="689"/>
      <c r="F299" s="58"/>
      <c r="G299" s="280"/>
      <c r="H299" s="280"/>
      <c r="I299" s="280"/>
      <c r="J299" s="754"/>
      <c r="K299" s="754"/>
      <c r="L299" s="754"/>
      <c r="M299" s="754"/>
      <c r="N299" s="754"/>
      <c r="O299" s="754"/>
      <c r="P299" s="754"/>
      <c r="Q299" s="754"/>
      <c r="R299" s="754"/>
      <c r="S299" s="754"/>
      <c r="T299" s="754"/>
      <c r="U299" s="754"/>
      <c r="V299" s="754"/>
      <c r="W299" s="754"/>
      <c r="X299" s="754"/>
      <c r="Y299" s="754"/>
      <c r="Z299" s="754"/>
      <c r="AA299" s="754"/>
      <c r="AB299" s="754"/>
      <c r="AC299" s="754"/>
      <c r="AD299" s="754"/>
      <c r="AE299" s="754"/>
      <c r="AF299" s="754"/>
      <c r="AG299" s="754"/>
      <c r="AH299" s="17">
        <f t="shared" si="28"/>
        <v>0</v>
      </c>
      <c r="AJ299" s="757"/>
    </row>
    <row r="300" spans="1:36">
      <c r="A300" s="281" t="s">
        <v>588</v>
      </c>
      <c r="B300" s="279"/>
      <c r="C300" s="279"/>
      <c r="D300" s="689"/>
      <c r="E300" s="689"/>
      <c r="F300" s="58"/>
      <c r="G300" s="280"/>
      <c r="H300" s="280"/>
      <c r="I300" s="280"/>
      <c r="J300" s="754"/>
      <c r="K300" s="754"/>
      <c r="L300" s="754"/>
      <c r="M300" s="754"/>
      <c r="N300" s="754"/>
      <c r="O300" s="754"/>
      <c r="P300" s="754"/>
      <c r="Q300" s="754"/>
      <c r="R300" s="754"/>
      <c r="S300" s="754"/>
      <c r="T300" s="754"/>
      <c r="U300" s="754"/>
      <c r="V300" s="754"/>
      <c r="W300" s="754"/>
      <c r="X300" s="754"/>
      <c r="Y300" s="754"/>
      <c r="Z300" s="754"/>
      <c r="AA300" s="754"/>
      <c r="AB300" s="754"/>
      <c r="AC300" s="754"/>
      <c r="AD300" s="754"/>
      <c r="AE300" s="754"/>
      <c r="AF300" s="754"/>
      <c r="AG300" s="754"/>
      <c r="AH300" s="17">
        <f t="shared" si="28"/>
        <v>0</v>
      </c>
      <c r="AJ300" s="757"/>
    </row>
    <row r="301" spans="1:36" ht="25.5">
      <c r="A301" s="76" t="s">
        <v>583</v>
      </c>
      <c r="B301" s="58"/>
      <c r="C301" s="58"/>
      <c r="D301" s="689"/>
      <c r="E301" s="689"/>
      <c r="F301" s="58"/>
      <c r="G301" s="280"/>
      <c r="H301" s="280"/>
      <c r="I301" s="280"/>
      <c r="J301" s="754"/>
      <c r="K301" s="754"/>
      <c r="L301" s="754"/>
      <c r="M301" s="754"/>
      <c r="N301" s="754"/>
      <c r="O301" s="754"/>
      <c r="P301" s="754"/>
      <c r="Q301" s="754"/>
      <c r="R301" s="754"/>
      <c r="S301" s="754"/>
      <c r="T301" s="754"/>
      <c r="U301" s="754"/>
      <c r="V301" s="754"/>
      <c r="W301" s="754"/>
      <c r="X301" s="754"/>
      <c r="Y301" s="754"/>
      <c r="Z301" s="754"/>
      <c r="AA301" s="754"/>
      <c r="AB301" s="754"/>
      <c r="AC301" s="754"/>
      <c r="AD301" s="754"/>
      <c r="AE301" s="754"/>
      <c r="AF301" s="754"/>
      <c r="AG301" s="754"/>
      <c r="AH301" s="17">
        <f t="shared" si="28"/>
        <v>0</v>
      </c>
      <c r="AJ301" s="757"/>
    </row>
    <row r="302" spans="1:36">
      <c r="A302" s="282" t="s">
        <v>589</v>
      </c>
      <c r="B302" s="283"/>
      <c r="C302" s="283"/>
      <c r="D302" s="689"/>
      <c r="E302" s="689"/>
      <c r="F302" s="77"/>
      <c r="G302" s="284"/>
      <c r="H302" s="284"/>
      <c r="I302" s="284"/>
      <c r="J302" s="834"/>
      <c r="K302" s="834"/>
      <c r="L302" s="834"/>
      <c r="M302" s="834"/>
      <c r="N302" s="834"/>
      <c r="O302" s="754"/>
      <c r="P302" s="834"/>
      <c r="Q302" s="834"/>
      <c r="R302" s="834"/>
      <c r="S302" s="834"/>
      <c r="T302" s="834"/>
      <c r="U302" s="754"/>
      <c r="V302" s="834"/>
      <c r="W302" s="834"/>
      <c r="X302" s="834"/>
      <c r="Y302" s="834"/>
      <c r="Z302" s="834"/>
      <c r="AA302" s="754"/>
      <c r="AB302" s="834"/>
      <c r="AC302" s="834"/>
      <c r="AD302" s="834"/>
      <c r="AE302" s="834"/>
      <c r="AF302" s="834"/>
      <c r="AG302" s="754"/>
      <c r="AH302" s="17">
        <f t="shared" si="28"/>
        <v>0</v>
      </c>
      <c r="AJ302" s="757"/>
    </row>
    <row r="303" spans="1:36" ht="255">
      <c r="A303" s="714" t="s">
        <v>590</v>
      </c>
      <c r="B303" s="58" t="s">
        <v>161</v>
      </c>
      <c r="C303" s="58" t="s">
        <v>591</v>
      </c>
      <c r="D303" s="693" t="s">
        <v>372</v>
      </c>
      <c r="E303" s="693" t="s">
        <v>372</v>
      </c>
      <c r="F303" s="58" t="s">
        <v>156</v>
      </c>
      <c r="G303" s="4" t="s">
        <v>593</v>
      </c>
      <c r="H303" s="152"/>
      <c r="I303" s="280"/>
      <c r="J303" s="754"/>
      <c r="K303" s="754"/>
      <c r="L303" s="754"/>
      <c r="M303" s="754">
        <v>3655.1844843897802</v>
      </c>
      <c r="N303" s="754"/>
      <c r="O303" s="754">
        <f>SUM(J303:N303)</f>
        <v>3655.1844843897802</v>
      </c>
      <c r="P303" s="754"/>
      <c r="Q303" s="754">
        <f>SUM(L303:P303)</f>
        <v>7310.3689687795604</v>
      </c>
      <c r="R303" s="754"/>
      <c r="S303" s="754">
        <v>3440.1844843897802</v>
      </c>
      <c r="T303" s="754"/>
      <c r="U303" s="754">
        <f>SUM(P303:T303)</f>
        <v>10750.553453169341</v>
      </c>
      <c r="V303" s="754"/>
      <c r="W303" s="754"/>
      <c r="X303" s="754"/>
      <c r="Y303" s="754"/>
      <c r="Z303" s="754"/>
      <c r="AA303" s="754"/>
      <c r="AB303" s="754"/>
      <c r="AC303" s="754"/>
      <c r="AD303" s="754"/>
      <c r="AE303" s="754"/>
      <c r="AF303" s="754"/>
      <c r="AG303" s="754"/>
      <c r="AH303" s="17">
        <f t="shared" si="28"/>
        <v>14405.737937559121</v>
      </c>
      <c r="AJ303" s="757"/>
    </row>
    <row r="304" spans="1:36">
      <c r="A304" s="286" t="s">
        <v>594</v>
      </c>
      <c r="B304" s="287"/>
      <c r="C304" s="287"/>
      <c r="D304" s="690"/>
      <c r="E304" s="690"/>
      <c r="F304" s="289"/>
      <c r="G304" s="287"/>
      <c r="H304" s="287"/>
      <c r="I304" s="287"/>
      <c r="J304" s="17"/>
      <c r="K304" s="17"/>
      <c r="L304" s="17"/>
      <c r="M304" s="17"/>
      <c r="N304" s="17"/>
      <c r="O304" s="754"/>
      <c r="P304" s="17"/>
      <c r="Q304" s="17"/>
      <c r="R304" s="17"/>
      <c r="S304" s="17"/>
      <c r="T304" s="17"/>
      <c r="U304" s="754"/>
      <c r="V304" s="17"/>
      <c r="W304" s="17"/>
      <c r="X304" s="17"/>
      <c r="Y304" s="17"/>
      <c r="Z304" s="17"/>
      <c r="AA304" s="754"/>
      <c r="AB304" s="17"/>
      <c r="AC304" s="17"/>
      <c r="AD304" s="17"/>
      <c r="AE304" s="17"/>
      <c r="AF304" s="17"/>
      <c r="AG304" s="754"/>
      <c r="AH304" s="17">
        <f t="shared" si="28"/>
        <v>0</v>
      </c>
      <c r="AJ304" s="757"/>
    </row>
    <row r="305" spans="1:36" ht="25.5">
      <c r="A305" s="76" t="s">
        <v>595</v>
      </c>
      <c r="B305" s="290"/>
      <c r="C305" s="290"/>
      <c r="D305" s="689"/>
      <c r="E305" s="689"/>
      <c r="F305" s="58"/>
      <c r="G305" s="280"/>
      <c r="H305" s="280"/>
      <c r="I305" s="280"/>
      <c r="J305" s="754"/>
      <c r="K305" s="754"/>
      <c r="L305" s="754"/>
      <c r="M305" s="754"/>
      <c r="N305" s="754"/>
      <c r="O305" s="754"/>
      <c r="P305" s="754"/>
      <c r="Q305" s="754"/>
      <c r="R305" s="754"/>
      <c r="S305" s="754"/>
      <c r="T305" s="754"/>
      <c r="U305" s="754"/>
      <c r="V305" s="754"/>
      <c r="W305" s="754"/>
      <c r="X305" s="754"/>
      <c r="Y305" s="754"/>
      <c r="Z305" s="754"/>
      <c r="AA305" s="754"/>
      <c r="AB305" s="754"/>
      <c r="AC305" s="754"/>
      <c r="AD305" s="754"/>
      <c r="AE305" s="754"/>
      <c r="AF305" s="754"/>
      <c r="AG305" s="754"/>
      <c r="AH305" s="17">
        <f t="shared" si="28"/>
        <v>0</v>
      </c>
      <c r="AJ305" s="757"/>
    </row>
    <row r="306" spans="1:36">
      <c r="A306" s="278" t="s">
        <v>596</v>
      </c>
      <c r="B306" s="280"/>
      <c r="C306" s="280"/>
      <c r="D306" s="689"/>
      <c r="E306" s="689"/>
      <c r="F306" s="58"/>
      <c r="G306" s="280"/>
      <c r="H306" s="280"/>
      <c r="I306" s="280"/>
      <c r="J306" s="754"/>
      <c r="K306" s="754"/>
      <c r="L306" s="754"/>
      <c r="M306" s="754"/>
      <c r="N306" s="754"/>
      <c r="O306" s="754"/>
      <c r="P306" s="754"/>
      <c r="Q306" s="754"/>
      <c r="R306" s="754"/>
      <c r="S306" s="754"/>
      <c r="T306" s="754"/>
      <c r="U306" s="754"/>
      <c r="V306" s="754"/>
      <c r="W306" s="754"/>
      <c r="X306" s="754"/>
      <c r="Y306" s="754"/>
      <c r="Z306" s="754"/>
      <c r="AA306" s="754"/>
      <c r="AB306" s="754"/>
      <c r="AC306" s="754"/>
      <c r="AD306" s="754"/>
      <c r="AE306" s="754"/>
      <c r="AF306" s="754"/>
      <c r="AG306" s="754"/>
      <c r="AH306" s="17">
        <f t="shared" si="28"/>
        <v>0</v>
      </c>
      <c r="AJ306" s="757"/>
    </row>
    <row r="307" spans="1:36" ht="25.5">
      <c r="A307" s="76" t="s">
        <v>597</v>
      </c>
      <c r="B307" s="280"/>
      <c r="C307" s="280"/>
      <c r="D307" s="689"/>
      <c r="E307" s="689"/>
      <c r="F307" s="58"/>
      <c r="G307" s="280"/>
      <c r="H307" s="280"/>
      <c r="I307" s="280"/>
      <c r="J307" s="754"/>
      <c r="K307" s="754"/>
      <c r="L307" s="754"/>
      <c r="M307" s="754"/>
      <c r="N307" s="754"/>
      <c r="O307" s="754"/>
      <c r="P307" s="754"/>
      <c r="Q307" s="754"/>
      <c r="R307" s="754"/>
      <c r="S307" s="754"/>
      <c r="T307" s="754"/>
      <c r="U307" s="754"/>
      <c r="V307" s="754"/>
      <c r="W307" s="754"/>
      <c r="X307" s="754"/>
      <c r="Y307" s="754"/>
      <c r="Z307" s="754"/>
      <c r="AA307" s="754"/>
      <c r="AB307" s="754"/>
      <c r="AC307" s="754"/>
      <c r="AD307" s="754"/>
      <c r="AE307" s="754"/>
      <c r="AF307" s="754"/>
      <c r="AG307" s="754"/>
      <c r="AH307" s="17">
        <f t="shared" si="28"/>
        <v>0</v>
      </c>
      <c r="AJ307" s="757"/>
    </row>
    <row r="308" spans="1:36">
      <c r="A308" s="278" t="s">
        <v>16</v>
      </c>
      <c r="B308" s="279"/>
      <c r="C308" s="279"/>
      <c r="D308" s="689"/>
      <c r="E308" s="689"/>
      <c r="F308" s="58"/>
      <c r="G308" s="280"/>
      <c r="H308" s="280"/>
      <c r="I308" s="280"/>
      <c r="J308" s="754"/>
      <c r="K308" s="754"/>
      <c r="L308" s="754"/>
      <c r="M308" s="754"/>
      <c r="N308" s="754"/>
      <c r="O308" s="754"/>
      <c r="P308" s="754"/>
      <c r="Q308" s="754"/>
      <c r="R308" s="754"/>
      <c r="S308" s="754"/>
      <c r="T308" s="754"/>
      <c r="U308" s="754"/>
      <c r="V308" s="754"/>
      <c r="W308" s="754"/>
      <c r="X308" s="754"/>
      <c r="Y308" s="754"/>
      <c r="Z308" s="754"/>
      <c r="AA308" s="754"/>
      <c r="AB308" s="754"/>
      <c r="AC308" s="754"/>
      <c r="AD308" s="754"/>
      <c r="AE308" s="754"/>
      <c r="AF308" s="754"/>
      <c r="AG308" s="754"/>
      <c r="AH308" s="17">
        <f t="shared" si="28"/>
        <v>0</v>
      </c>
      <c r="AJ308" s="757"/>
    </row>
    <row r="309" spans="1:36" ht="38.25">
      <c r="A309" s="76" t="s">
        <v>582</v>
      </c>
      <c r="B309" s="279"/>
      <c r="C309" s="279"/>
      <c r="D309" s="689"/>
      <c r="E309" s="689"/>
      <c r="F309" s="58"/>
      <c r="G309" s="280"/>
      <c r="H309" s="280"/>
      <c r="I309" s="280"/>
      <c r="J309" s="754"/>
      <c r="K309" s="754"/>
      <c r="L309" s="754"/>
      <c r="M309" s="754"/>
      <c r="N309" s="754"/>
      <c r="O309" s="754"/>
      <c r="P309" s="754"/>
      <c r="Q309" s="754"/>
      <c r="R309" s="754"/>
      <c r="S309" s="754"/>
      <c r="T309" s="754"/>
      <c r="U309" s="754"/>
      <c r="V309" s="754"/>
      <c r="W309" s="754"/>
      <c r="X309" s="754"/>
      <c r="Y309" s="754"/>
      <c r="Z309" s="754"/>
      <c r="AA309" s="754"/>
      <c r="AB309" s="754"/>
      <c r="AC309" s="754"/>
      <c r="AD309" s="754"/>
      <c r="AE309" s="754"/>
      <c r="AF309" s="754"/>
      <c r="AG309" s="754"/>
      <c r="AH309" s="17">
        <f t="shared" si="28"/>
        <v>0</v>
      </c>
      <c r="AJ309" s="757"/>
    </row>
    <row r="310" spans="1:36">
      <c r="A310" s="281" t="s">
        <v>362</v>
      </c>
      <c r="B310" s="279"/>
      <c r="C310" s="279"/>
      <c r="D310" s="689"/>
      <c r="E310" s="689"/>
      <c r="F310" s="58"/>
      <c r="G310" s="280"/>
      <c r="H310" s="280"/>
      <c r="I310" s="280"/>
      <c r="J310" s="754"/>
      <c r="K310" s="754"/>
      <c r="L310" s="754"/>
      <c r="M310" s="754"/>
      <c r="N310" s="754"/>
      <c r="O310" s="754"/>
      <c r="P310" s="754"/>
      <c r="Q310" s="754"/>
      <c r="R310" s="754"/>
      <c r="S310" s="754"/>
      <c r="T310" s="754"/>
      <c r="U310" s="754"/>
      <c r="V310" s="754"/>
      <c r="W310" s="754"/>
      <c r="X310" s="754"/>
      <c r="Y310" s="754"/>
      <c r="Z310" s="754"/>
      <c r="AA310" s="754"/>
      <c r="AB310" s="754"/>
      <c r="AC310" s="754"/>
      <c r="AD310" s="754"/>
      <c r="AE310" s="754"/>
      <c r="AF310" s="754"/>
      <c r="AG310" s="754"/>
      <c r="AH310" s="17">
        <f t="shared" si="28"/>
        <v>0</v>
      </c>
      <c r="AJ310" s="757"/>
    </row>
    <row r="311" spans="1:36" ht="25.5">
      <c r="A311" s="76" t="s">
        <v>583</v>
      </c>
      <c r="B311" s="58"/>
      <c r="C311" s="58"/>
      <c r="D311" s="689"/>
      <c r="E311" s="689"/>
      <c r="F311" s="58"/>
      <c r="G311" s="280"/>
      <c r="H311" s="280"/>
      <c r="I311" s="280"/>
      <c r="J311" s="754"/>
      <c r="K311" s="754"/>
      <c r="L311" s="754"/>
      <c r="M311" s="754"/>
      <c r="N311" s="754"/>
      <c r="O311" s="754"/>
      <c r="P311" s="754"/>
      <c r="Q311" s="754"/>
      <c r="R311" s="754"/>
      <c r="S311" s="754"/>
      <c r="T311" s="754"/>
      <c r="U311" s="754"/>
      <c r="V311" s="754"/>
      <c r="W311" s="754"/>
      <c r="X311" s="754"/>
      <c r="Y311" s="754"/>
      <c r="Z311" s="754"/>
      <c r="AA311" s="754"/>
      <c r="AB311" s="754"/>
      <c r="AC311" s="754"/>
      <c r="AD311" s="754"/>
      <c r="AE311" s="754"/>
      <c r="AF311" s="754"/>
      <c r="AG311" s="754"/>
      <c r="AH311" s="17">
        <f t="shared" si="28"/>
        <v>0</v>
      </c>
      <c r="AJ311" s="757"/>
    </row>
    <row r="312" spans="1:36" ht="344.25">
      <c r="A312" s="714" t="s">
        <v>598</v>
      </c>
      <c r="B312" s="58" t="s">
        <v>161</v>
      </c>
      <c r="C312" s="58" t="s">
        <v>599</v>
      </c>
      <c r="D312" s="555" t="s">
        <v>80</v>
      </c>
      <c r="E312" s="692" t="s">
        <v>80</v>
      </c>
      <c r="F312" s="4" t="s">
        <v>600</v>
      </c>
      <c r="G312" s="4" t="s">
        <v>593</v>
      </c>
      <c r="H312" s="4" t="s">
        <v>601</v>
      </c>
      <c r="I312" s="280"/>
      <c r="J312" s="754">
        <v>250000</v>
      </c>
      <c r="K312" s="754"/>
      <c r="L312" s="754"/>
      <c r="M312" s="754"/>
      <c r="N312" s="754"/>
      <c r="O312" s="754">
        <f t="shared" ref="O312:O320" si="29">SUM(J312:N312)</f>
        <v>250000</v>
      </c>
      <c r="P312" s="754">
        <v>250000</v>
      </c>
      <c r="Q312" s="754"/>
      <c r="R312" s="754"/>
      <c r="S312" s="754"/>
      <c r="T312" s="754"/>
      <c r="U312" s="754">
        <f t="shared" ref="U312:U320" si="30">SUM(P312:T312)</f>
        <v>250000</v>
      </c>
      <c r="V312" s="754">
        <v>250000</v>
      </c>
      <c r="W312" s="754"/>
      <c r="X312" s="754"/>
      <c r="Y312" s="754"/>
      <c r="Z312" s="754"/>
      <c r="AA312" s="754">
        <f t="shared" ref="AA312:AA320" si="31">SUM(V312:Z312)</f>
        <v>250000</v>
      </c>
      <c r="AB312" s="754"/>
      <c r="AC312" s="754"/>
      <c r="AD312" s="754"/>
      <c r="AE312" s="754"/>
      <c r="AF312" s="754"/>
      <c r="AG312" s="754"/>
      <c r="AH312" s="17">
        <f t="shared" si="28"/>
        <v>750000</v>
      </c>
      <c r="AJ312" s="757"/>
    </row>
    <row r="313" spans="1:36" ht="191.25">
      <c r="A313" s="714" t="s">
        <v>602</v>
      </c>
      <c r="B313" s="58" t="s">
        <v>153</v>
      </c>
      <c r="C313" s="58" t="s">
        <v>172</v>
      </c>
      <c r="D313" s="552" t="s">
        <v>80</v>
      </c>
      <c r="E313" s="692" t="s">
        <v>80</v>
      </c>
      <c r="F313" s="58" t="s">
        <v>156</v>
      </c>
      <c r="G313" s="4" t="s">
        <v>593</v>
      </c>
      <c r="H313" s="4" t="s">
        <v>603</v>
      </c>
      <c r="I313" s="280"/>
      <c r="J313" s="754">
        <v>14848</v>
      </c>
      <c r="K313" s="754"/>
      <c r="L313" s="754"/>
      <c r="M313" s="754"/>
      <c r="N313" s="754"/>
      <c r="O313" s="754">
        <f t="shared" si="29"/>
        <v>14848</v>
      </c>
      <c r="P313" s="754">
        <v>33027</v>
      </c>
      <c r="Q313" s="754"/>
      <c r="R313" s="754"/>
      <c r="S313" s="754"/>
      <c r="T313" s="754"/>
      <c r="U313" s="754">
        <f t="shared" si="30"/>
        <v>33027</v>
      </c>
      <c r="V313" s="754">
        <v>8000</v>
      </c>
      <c r="W313" s="754"/>
      <c r="X313" s="754"/>
      <c r="Y313" s="754"/>
      <c r="Z313" s="754"/>
      <c r="AA313" s="754">
        <f t="shared" si="31"/>
        <v>8000</v>
      </c>
      <c r="AB313" s="754">
        <v>55000</v>
      </c>
      <c r="AC313" s="754"/>
      <c r="AD313" s="754"/>
      <c r="AE313" s="754"/>
      <c r="AF313" s="754"/>
      <c r="AG313" s="754">
        <f t="shared" ref="AG313:AG320" si="32">SUM(AB313:AF313)</f>
        <v>55000</v>
      </c>
      <c r="AH313" s="17">
        <f t="shared" si="28"/>
        <v>110875</v>
      </c>
      <c r="AJ313" s="757"/>
    </row>
    <row r="314" spans="1:36" ht="280.5">
      <c r="A314" s="714" t="s">
        <v>604</v>
      </c>
      <c r="B314" s="58" t="s">
        <v>153</v>
      </c>
      <c r="C314" s="58" t="s">
        <v>173</v>
      </c>
      <c r="D314" s="552" t="s">
        <v>80</v>
      </c>
      <c r="E314" s="552" t="s">
        <v>80</v>
      </c>
      <c r="F314" s="58" t="s">
        <v>156</v>
      </c>
      <c r="G314" s="4" t="s">
        <v>593</v>
      </c>
      <c r="H314" s="4" t="s">
        <v>603</v>
      </c>
      <c r="I314" s="280"/>
      <c r="J314" s="754">
        <v>14933</v>
      </c>
      <c r="K314" s="754"/>
      <c r="L314" s="754"/>
      <c r="M314" s="754"/>
      <c r="N314" s="754"/>
      <c r="O314" s="754">
        <f t="shared" si="29"/>
        <v>14933</v>
      </c>
      <c r="P314" s="754">
        <v>16426</v>
      </c>
      <c r="Q314" s="754"/>
      <c r="R314" s="754"/>
      <c r="S314" s="754"/>
      <c r="T314" s="754"/>
      <c r="U314" s="754">
        <f t="shared" si="30"/>
        <v>16426</v>
      </c>
      <c r="V314" s="754">
        <v>18068</v>
      </c>
      <c r="W314" s="754"/>
      <c r="X314" s="754"/>
      <c r="Y314" s="754"/>
      <c r="Z314" s="754"/>
      <c r="AA314" s="754">
        <f t="shared" si="31"/>
        <v>18068</v>
      </c>
      <c r="AB314" s="754">
        <v>19875</v>
      </c>
      <c r="AC314" s="754"/>
      <c r="AD314" s="754"/>
      <c r="AE314" s="754"/>
      <c r="AF314" s="754"/>
      <c r="AG314" s="754">
        <f t="shared" si="32"/>
        <v>19875</v>
      </c>
      <c r="AH314" s="17">
        <f t="shared" si="28"/>
        <v>69302</v>
      </c>
      <c r="AJ314" s="757"/>
    </row>
    <row r="315" spans="1:36" ht="39.75" customHeight="1">
      <c r="A315" s="281" t="s">
        <v>605</v>
      </c>
      <c r="B315" s="279"/>
      <c r="C315" s="279"/>
      <c r="D315" s="689"/>
      <c r="E315" s="689"/>
      <c r="F315" s="58"/>
      <c r="G315" s="280"/>
      <c r="H315" s="280"/>
      <c r="I315" s="280"/>
      <c r="J315" s="754"/>
      <c r="K315" s="754"/>
      <c r="L315" s="754"/>
      <c r="M315" s="754"/>
      <c r="N315" s="754"/>
      <c r="O315" s="754"/>
      <c r="P315" s="754"/>
      <c r="Q315" s="754"/>
      <c r="R315" s="754"/>
      <c r="S315" s="754"/>
      <c r="T315" s="754"/>
      <c r="U315" s="754"/>
      <c r="V315" s="754"/>
      <c r="W315" s="754"/>
      <c r="X315" s="754"/>
      <c r="Y315" s="754"/>
      <c r="Z315" s="754"/>
      <c r="AA315" s="754"/>
      <c r="AB315" s="754"/>
      <c r="AC315" s="754"/>
      <c r="AD315" s="754"/>
      <c r="AE315" s="754"/>
      <c r="AF315" s="754"/>
      <c r="AG315" s="754"/>
      <c r="AH315" s="17">
        <f t="shared" si="28"/>
        <v>0</v>
      </c>
      <c r="AJ315" s="757"/>
    </row>
    <row r="316" spans="1:36" ht="38.25">
      <c r="A316" s="76" t="s">
        <v>606</v>
      </c>
      <c r="B316" s="58"/>
      <c r="C316" s="58"/>
      <c r="D316" s="689"/>
      <c r="E316" s="689"/>
      <c r="F316" s="58"/>
      <c r="G316" s="280"/>
      <c r="H316" s="280"/>
      <c r="I316" s="280"/>
      <c r="J316" s="754"/>
      <c r="K316" s="754"/>
      <c r="L316" s="754"/>
      <c r="M316" s="754"/>
      <c r="N316" s="754"/>
      <c r="O316" s="754"/>
      <c r="P316" s="754"/>
      <c r="Q316" s="754"/>
      <c r="R316" s="754"/>
      <c r="S316" s="754"/>
      <c r="T316" s="754"/>
      <c r="U316" s="754"/>
      <c r="V316" s="754"/>
      <c r="W316" s="754"/>
      <c r="X316" s="754"/>
      <c r="Y316" s="754"/>
      <c r="Z316" s="754"/>
      <c r="AA316" s="754"/>
      <c r="AB316" s="754"/>
      <c r="AC316" s="754"/>
      <c r="AD316" s="754"/>
      <c r="AE316" s="754"/>
      <c r="AF316" s="754"/>
      <c r="AG316" s="754"/>
      <c r="AH316" s="17">
        <f t="shared" si="28"/>
        <v>0</v>
      </c>
      <c r="AJ316" s="757"/>
    </row>
    <row r="317" spans="1:36" ht="357">
      <c r="A317" s="714" t="s">
        <v>607</v>
      </c>
      <c r="B317" s="58" t="s">
        <v>161</v>
      </c>
      <c r="C317" s="58" t="s">
        <v>182</v>
      </c>
      <c r="D317" s="552" t="s">
        <v>80</v>
      </c>
      <c r="E317" s="692" t="s">
        <v>80</v>
      </c>
      <c r="F317" s="58" t="s">
        <v>156</v>
      </c>
      <c r="G317" s="63" t="s">
        <v>608</v>
      </c>
      <c r="H317" s="4" t="s">
        <v>603</v>
      </c>
      <c r="I317" s="280"/>
      <c r="J317" s="754">
        <v>12469.8</v>
      </c>
      <c r="K317" s="754"/>
      <c r="L317" s="754"/>
      <c r="M317" s="754"/>
      <c r="N317" s="754"/>
      <c r="O317" s="754">
        <f t="shared" si="29"/>
        <v>12469.8</v>
      </c>
      <c r="P317" s="754">
        <v>148988</v>
      </c>
      <c r="Q317" s="754"/>
      <c r="R317" s="754"/>
      <c r="S317" s="754"/>
      <c r="T317" s="754"/>
      <c r="U317" s="754">
        <f t="shared" si="30"/>
        <v>148988</v>
      </c>
      <c r="V317" s="754">
        <v>154670.29999999999</v>
      </c>
      <c r="W317" s="754"/>
      <c r="X317" s="754"/>
      <c r="Y317" s="754"/>
      <c r="Z317" s="754"/>
      <c r="AA317" s="754">
        <f t="shared" si="31"/>
        <v>154670.29999999999</v>
      </c>
      <c r="AB317" s="754">
        <v>159788.29999999999</v>
      </c>
      <c r="AC317" s="754"/>
      <c r="AD317" s="754"/>
      <c r="AE317" s="754"/>
      <c r="AF317" s="754"/>
      <c r="AG317" s="754">
        <f t="shared" si="32"/>
        <v>159788.29999999999</v>
      </c>
      <c r="AH317" s="17">
        <f t="shared" si="28"/>
        <v>475916.39999999997</v>
      </c>
      <c r="AJ317" s="757"/>
    </row>
    <row r="318" spans="1:36" ht="140.25">
      <c r="A318" s="714" t="s">
        <v>609</v>
      </c>
      <c r="B318" s="58" t="s">
        <v>161</v>
      </c>
      <c r="C318" s="58" t="s">
        <v>192</v>
      </c>
      <c r="D318" s="552" t="s">
        <v>80</v>
      </c>
      <c r="E318" s="692" t="s">
        <v>80</v>
      </c>
      <c r="F318" s="58" t="s">
        <v>156</v>
      </c>
      <c r="G318" s="63" t="s">
        <v>608</v>
      </c>
      <c r="H318" s="4" t="s">
        <v>603</v>
      </c>
      <c r="I318" s="280"/>
      <c r="J318" s="754">
        <v>4913</v>
      </c>
      <c r="K318" s="754"/>
      <c r="L318" s="754"/>
      <c r="M318" s="754"/>
      <c r="N318" s="754"/>
      <c r="O318" s="754">
        <f t="shared" si="29"/>
        <v>4913</v>
      </c>
      <c r="P318" s="754">
        <v>5268</v>
      </c>
      <c r="Q318" s="754"/>
      <c r="R318" s="754"/>
      <c r="S318" s="754"/>
      <c r="T318" s="754"/>
      <c r="U318" s="754">
        <f t="shared" si="30"/>
        <v>5268</v>
      </c>
      <c r="V318" s="754">
        <v>4318</v>
      </c>
      <c r="W318" s="754"/>
      <c r="X318" s="754"/>
      <c r="Y318" s="754"/>
      <c r="Z318" s="754"/>
      <c r="AA318" s="754">
        <f t="shared" si="31"/>
        <v>4318</v>
      </c>
      <c r="AB318" s="754">
        <v>4318</v>
      </c>
      <c r="AC318" s="754"/>
      <c r="AD318" s="754"/>
      <c r="AE318" s="754"/>
      <c r="AF318" s="754"/>
      <c r="AG318" s="754">
        <f t="shared" si="32"/>
        <v>4318</v>
      </c>
      <c r="AH318" s="17">
        <f t="shared" si="28"/>
        <v>18817</v>
      </c>
      <c r="AJ318" s="757"/>
    </row>
    <row r="319" spans="1:36" ht="242.25">
      <c r="A319" s="714" t="s">
        <v>610</v>
      </c>
      <c r="B319" s="58" t="s">
        <v>161</v>
      </c>
      <c r="C319" s="58" t="s">
        <v>185</v>
      </c>
      <c r="D319" s="693" t="s">
        <v>372</v>
      </c>
      <c r="E319" s="693" t="s">
        <v>372</v>
      </c>
      <c r="F319" s="58" t="s">
        <v>156</v>
      </c>
      <c r="G319" s="63" t="s">
        <v>608</v>
      </c>
      <c r="H319" s="4" t="s">
        <v>603</v>
      </c>
      <c r="I319" s="280"/>
      <c r="J319" s="754">
        <v>3360.13</v>
      </c>
      <c r="K319" s="754"/>
      <c r="L319" s="754"/>
      <c r="M319" s="754"/>
      <c r="N319" s="754"/>
      <c r="O319" s="754">
        <f t="shared" si="29"/>
        <v>3360.13</v>
      </c>
      <c r="P319" s="754">
        <v>6840</v>
      </c>
      <c r="Q319" s="754"/>
      <c r="R319" s="754"/>
      <c r="S319" s="754"/>
      <c r="T319" s="754"/>
      <c r="U319" s="754">
        <f t="shared" si="30"/>
        <v>6840</v>
      </c>
      <c r="V319" s="754">
        <v>7305</v>
      </c>
      <c r="W319" s="754"/>
      <c r="X319" s="754"/>
      <c r="Y319" s="754"/>
      <c r="Z319" s="754"/>
      <c r="AA319" s="754">
        <f t="shared" si="31"/>
        <v>7305</v>
      </c>
      <c r="AB319" s="754">
        <v>8050</v>
      </c>
      <c r="AC319" s="754"/>
      <c r="AD319" s="754"/>
      <c r="AE319" s="754"/>
      <c r="AF319" s="754"/>
      <c r="AG319" s="754">
        <f t="shared" si="32"/>
        <v>8050</v>
      </c>
      <c r="AH319" s="17">
        <f t="shared" si="28"/>
        <v>25555.13</v>
      </c>
      <c r="AJ319" s="757"/>
    </row>
    <row r="320" spans="1:36" ht="191.25">
      <c r="A320" s="714" t="s">
        <v>611</v>
      </c>
      <c r="B320" s="58" t="s">
        <v>153</v>
      </c>
      <c r="C320" s="58" t="s">
        <v>188</v>
      </c>
      <c r="D320" s="552" t="s">
        <v>80</v>
      </c>
      <c r="E320" s="693" t="s">
        <v>80</v>
      </c>
      <c r="F320" s="58" t="s">
        <v>156</v>
      </c>
      <c r="G320" s="63" t="s">
        <v>608</v>
      </c>
      <c r="H320" s="4" t="s">
        <v>603</v>
      </c>
      <c r="I320" s="280"/>
      <c r="J320" s="754">
        <v>1200</v>
      </c>
      <c r="K320" s="754"/>
      <c r="L320" s="754"/>
      <c r="M320" s="754"/>
      <c r="N320" s="754"/>
      <c r="O320" s="754">
        <f t="shared" si="29"/>
        <v>1200</v>
      </c>
      <c r="P320" s="754">
        <v>1300</v>
      </c>
      <c r="Q320" s="754"/>
      <c r="R320" s="754"/>
      <c r="S320" s="754"/>
      <c r="T320" s="754"/>
      <c r="U320" s="754">
        <f t="shared" si="30"/>
        <v>1300</v>
      </c>
      <c r="V320" s="754">
        <v>1400</v>
      </c>
      <c r="W320" s="754"/>
      <c r="X320" s="754"/>
      <c r="Y320" s="754"/>
      <c r="Z320" s="754"/>
      <c r="AA320" s="754">
        <f t="shared" si="31"/>
        <v>1400</v>
      </c>
      <c r="AB320" s="754">
        <v>1500</v>
      </c>
      <c r="AC320" s="754"/>
      <c r="AD320" s="754"/>
      <c r="AE320" s="754"/>
      <c r="AF320" s="754"/>
      <c r="AG320" s="754">
        <f t="shared" si="32"/>
        <v>1500</v>
      </c>
      <c r="AH320" s="17">
        <f t="shared" si="28"/>
        <v>5400</v>
      </c>
      <c r="AJ320" s="757"/>
    </row>
    <row r="321" spans="1:36">
      <c r="A321" s="291" t="s">
        <v>612</v>
      </c>
      <c r="B321" s="292"/>
      <c r="C321" s="292"/>
      <c r="D321" s="691"/>
      <c r="E321" s="691"/>
      <c r="F321" s="293"/>
      <c r="G321" s="280"/>
      <c r="H321" s="280"/>
      <c r="I321" s="280"/>
      <c r="J321" s="754"/>
      <c r="K321" s="754"/>
      <c r="L321" s="754"/>
      <c r="M321" s="754"/>
      <c r="N321" s="754"/>
      <c r="O321" s="754"/>
      <c r="P321" s="754"/>
      <c r="Q321" s="754"/>
      <c r="R321" s="754"/>
      <c r="S321" s="754"/>
      <c r="T321" s="754"/>
      <c r="U321" s="754"/>
      <c r="V321" s="754"/>
      <c r="W321" s="754"/>
      <c r="X321" s="754"/>
      <c r="Y321" s="754"/>
      <c r="Z321" s="754"/>
      <c r="AA321" s="754"/>
      <c r="AB321" s="754"/>
      <c r="AC321" s="754"/>
      <c r="AD321" s="754"/>
      <c r="AE321" s="754"/>
      <c r="AF321" s="754"/>
      <c r="AG321" s="754"/>
      <c r="AH321" s="17">
        <f t="shared" si="28"/>
        <v>0</v>
      </c>
      <c r="AJ321" s="757"/>
    </row>
    <row r="322" spans="1:36" ht="25.5">
      <c r="A322" s="76" t="s">
        <v>613</v>
      </c>
      <c r="B322" s="279"/>
      <c r="C322" s="279"/>
      <c r="D322" s="689"/>
      <c r="E322" s="689"/>
      <c r="F322" s="58"/>
      <c r="G322" s="280"/>
      <c r="H322" s="280"/>
      <c r="I322" s="280"/>
      <c r="J322" s="754"/>
      <c r="K322" s="754"/>
      <c r="L322" s="754"/>
      <c r="M322" s="754"/>
      <c r="N322" s="754"/>
      <c r="O322" s="754"/>
      <c r="P322" s="754"/>
      <c r="Q322" s="754"/>
      <c r="R322" s="754"/>
      <c r="S322" s="754"/>
      <c r="T322" s="754"/>
      <c r="U322" s="754"/>
      <c r="V322" s="754"/>
      <c r="W322" s="754"/>
      <c r="X322" s="754"/>
      <c r="Y322" s="754"/>
      <c r="Z322" s="754"/>
      <c r="AA322" s="754"/>
      <c r="AB322" s="754"/>
      <c r="AC322" s="754"/>
      <c r="AD322" s="754"/>
      <c r="AE322" s="754"/>
      <c r="AF322" s="754"/>
      <c r="AG322" s="754"/>
      <c r="AH322" s="17">
        <f t="shared" si="28"/>
        <v>0</v>
      </c>
      <c r="AJ322" s="757"/>
    </row>
    <row r="323" spans="1:36">
      <c r="A323" s="278" t="s">
        <v>16</v>
      </c>
      <c r="B323" s="279"/>
      <c r="C323" s="279"/>
      <c r="D323" s="689"/>
      <c r="E323" s="689"/>
      <c r="F323" s="58"/>
      <c r="G323" s="280"/>
      <c r="H323" s="280"/>
      <c r="I323" s="280"/>
      <c r="J323" s="754"/>
      <c r="K323" s="754"/>
      <c r="L323" s="754"/>
      <c r="M323" s="754"/>
      <c r="N323" s="754"/>
      <c r="O323" s="754"/>
      <c r="P323" s="754"/>
      <c r="Q323" s="754"/>
      <c r="R323" s="754"/>
      <c r="S323" s="754"/>
      <c r="T323" s="754"/>
      <c r="U323" s="754"/>
      <c r="V323" s="754"/>
      <c r="W323" s="754"/>
      <c r="X323" s="754"/>
      <c r="Y323" s="754"/>
      <c r="Z323" s="754"/>
      <c r="AA323" s="754"/>
      <c r="AB323" s="754"/>
      <c r="AC323" s="754"/>
      <c r="AD323" s="754"/>
      <c r="AE323" s="754"/>
      <c r="AF323" s="754"/>
      <c r="AG323" s="754"/>
      <c r="AH323" s="17">
        <f t="shared" si="28"/>
        <v>0</v>
      </c>
      <c r="AJ323" s="757"/>
    </row>
    <row r="324" spans="1:36" ht="38.25">
      <c r="A324" s="76" t="s">
        <v>582</v>
      </c>
      <c r="B324" s="279"/>
      <c r="C324" s="279"/>
      <c r="D324" s="689"/>
      <c r="E324" s="689"/>
      <c r="F324" s="58"/>
      <c r="G324" s="280"/>
      <c r="H324" s="280"/>
      <c r="I324" s="280"/>
      <c r="J324" s="754"/>
      <c r="K324" s="754"/>
      <c r="L324" s="754"/>
      <c r="M324" s="754"/>
      <c r="N324" s="754"/>
      <c r="O324" s="754"/>
      <c r="P324" s="754"/>
      <c r="Q324" s="754"/>
      <c r="R324" s="754"/>
      <c r="S324" s="754"/>
      <c r="T324" s="754"/>
      <c r="U324" s="754"/>
      <c r="V324" s="754"/>
      <c r="W324" s="754"/>
      <c r="X324" s="754"/>
      <c r="Y324" s="754"/>
      <c r="Z324" s="754"/>
      <c r="AA324" s="754"/>
      <c r="AB324" s="754"/>
      <c r="AC324" s="754"/>
      <c r="AD324" s="754"/>
      <c r="AE324" s="754"/>
      <c r="AF324" s="754"/>
      <c r="AG324" s="754"/>
      <c r="AH324" s="17">
        <f t="shared" si="28"/>
        <v>0</v>
      </c>
      <c r="AJ324" s="757"/>
    </row>
    <row r="325" spans="1:36">
      <c r="A325" s="278" t="s">
        <v>614</v>
      </c>
      <c r="B325" s="279"/>
      <c r="C325" s="279"/>
      <c r="D325" s="689"/>
      <c r="E325" s="689"/>
      <c r="F325" s="58"/>
      <c r="G325" s="280"/>
      <c r="H325" s="280"/>
      <c r="I325" s="280"/>
      <c r="J325" s="754"/>
      <c r="K325" s="754"/>
      <c r="L325" s="754"/>
      <c r="M325" s="754"/>
      <c r="N325" s="754"/>
      <c r="O325" s="754"/>
      <c r="P325" s="754"/>
      <c r="Q325" s="754"/>
      <c r="R325" s="754"/>
      <c r="S325" s="754"/>
      <c r="T325" s="754"/>
      <c r="U325" s="754"/>
      <c r="V325" s="754"/>
      <c r="W325" s="754"/>
      <c r="X325" s="754"/>
      <c r="Y325" s="754"/>
      <c r="Z325" s="754"/>
      <c r="AA325" s="754"/>
      <c r="AB325" s="754"/>
      <c r="AC325" s="754"/>
      <c r="AD325" s="754"/>
      <c r="AE325" s="754"/>
      <c r="AF325" s="754"/>
      <c r="AG325" s="754"/>
      <c r="AH325" s="17">
        <f t="shared" si="28"/>
        <v>0</v>
      </c>
      <c r="AJ325" s="757"/>
    </row>
    <row r="326" spans="1:36" ht="25.5">
      <c r="A326" s="76" t="s">
        <v>583</v>
      </c>
      <c r="B326" s="279"/>
      <c r="C326" s="279"/>
      <c r="D326" s="689"/>
      <c r="E326" s="689"/>
      <c r="F326" s="58"/>
      <c r="G326" s="280"/>
      <c r="H326" s="280"/>
      <c r="I326" s="280"/>
      <c r="J326" s="754"/>
      <c r="K326" s="754"/>
      <c r="L326" s="754"/>
      <c r="M326" s="754"/>
      <c r="N326" s="754"/>
      <c r="O326" s="754"/>
      <c r="P326" s="754"/>
      <c r="Q326" s="754"/>
      <c r="R326" s="754"/>
      <c r="S326" s="754"/>
      <c r="T326" s="754"/>
      <c r="U326" s="754"/>
      <c r="V326" s="754"/>
      <c r="W326" s="754"/>
      <c r="X326" s="754"/>
      <c r="Y326" s="754"/>
      <c r="Z326" s="754"/>
      <c r="AA326" s="754"/>
      <c r="AB326" s="754"/>
      <c r="AC326" s="754"/>
      <c r="AD326" s="754"/>
      <c r="AE326" s="754"/>
      <c r="AF326" s="754"/>
      <c r="AG326" s="754"/>
      <c r="AH326" s="17">
        <f t="shared" si="28"/>
        <v>0</v>
      </c>
      <c r="AJ326" s="757"/>
    </row>
    <row r="327" spans="1:36" ht="229.5">
      <c r="A327" s="714" t="s">
        <v>615</v>
      </c>
      <c r="B327" s="58" t="s">
        <v>153</v>
      </c>
      <c r="C327" s="58" t="s">
        <v>190</v>
      </c>
      <c r="D327" s="552" t="s">
        <v>80</v>
      </c>
      <c r="E327" s="693" t="s">
        <v>80</v>
      </c>
      <c r="F327" s="77" t="s">
        <v>156</v>
      </c>
      <c r="G327" s="63" t="s">
        <v>593</v>
      </c>
      <c r="H327" s="4" t="s">
        <v>601</v>
      </c>
      <c r="I327" s="280"/>
      <c r="J327" s="754">
        <v>22000</v>
      </c>
      <c r="K327" s="754"/>
      <c r="L327" s="754"/>
      <c r="M327" s="754"/>
      <c r="N327" s="754"/>
      <c r="O327" s="754">
        <f>SUM(J327:N327)</f>
        <v>22000</v>
      </c>
      <c r="P327" s="754">
        <v>22000</v>
      </c>
      <c r="Q327" s="754"/>
      <c r="R327" s="754"/>
      <c r="S327" s="754"/>
      <c r="T327" s="754"/>
      <c r="U327" s="754">
        <f>SUM(P327:T327)</f>
        <v>22000</v>
      </c>
      <c r="V327" s="754">
        <v>33621</v>
      </c>
      <c r="W327" s="754"/>
      <c r="X327" s="754"/>
      <c r="Y327" s="754"/>
      <c r="Z327" s="754"/>
      <c r="AA327" s="754">
        <f>SUM(V327:Z327)</f>
        <v>33621</v>
      </c>
      <c r="AB327" s="754">
        <v>34234</v>
      </c>
      <c r="AC327" s="754"/>
      <c r="AD327" s="754"/>
      <c r="AE327" s="754"/>
      <c r="AF327" s="754"/>
      <c r="AG327" s="754">
        <f>SUM(AB327:AF327)</f>
        <v>34234</v>
      </c>
      <c r="AH327" s="17">
        <f t="shared" si="28"/>
        <v>111855</v>
      </c>
      <c r="AJ327" s="757"/>
    </row>
    <row r="328" spans="1:36">
      <c r="A328" s="172" t="s">
        <v>616</v>
      </c>
      <c r="B328" s="58"/>
      <c r="C328" s="58"/>
      <c r="D328" s="552"/>
      <c r="E328" s="552"/>
      <c r="F328" s="77"/>
      <c r="G328" s="63"/>
      <c r="H328" s="4"/>
      <c r="I328" s="280"/>
      <c r="J328" s="754"/>
      <c r="K328" s="754"/>
      <c r="L328" s="754"/>
      <c r="M328" s="754"/>
      <c r="N328" s="754"/>
      <c r="O328" s="754"/>
      <c r="P328" s="754"/>
      <c r="Q328" s="754"/>
      <c r="R328" s="754"/>
      <c r="S328" s="754"/>
      <c r="T328" s="754"/>
      <c r="U328" s="754"/>
      <c r="V328" s="754"/>
      <c r="W328" s="754"/>
      <c r="X328" s="754"/>
      <c r="Y328" s="754"/>
      <c r="Z328" s="754"/>
      <c r="AA328" s="754"/>
      <c r="AB328" s="754"/>
      <c r="AC328" s="754"/>
      <c r="AD328" s="754"/>
      <c r="AE328" s="754"/>
      <c r="AF328" s="754"/>
      <c r="AG328" s="754"/>
      <c r="AH328" s="17">
        <f t="shared" si="28"/>
        <v>0</v>
      </c>
      <c r="AJ328" s="757"/>
    </row>
    <row r="329" spans="1:36" ht="25.5">
      <c r="A329" s="294" t="s">
        <v>617</v>
      </c>
      <c r="B329" s="58"/>
      <c r="C329" s="58"/>
      <c r="D329" s="552"/>
      <c r="E329" s="552"/>
      <c r="F329" s="77"/>
      <c r="G329" s="63"/>
      <c r="H329" s="4"/>
      <c r="I329" s="280"/>
      <c r="J329" s="754"/>
      <c r="K329" s="754"/>
      <c r="L329" s="754"/>
      <c r="M329" s="754"/>
      <c r="N329" s="754"/>
      <c r="O329" s="754"/>
      <c r="P329" s="754"/>
      <c r="Q329" s="754"/>
      <c r="R329" s="754"/>
      <c r="S329" s="754"/>
      <c r="T329" s="754"/>
      <c r="U329" s="754"/>
      <c r="V329" s="754"/>
      <c r="W329" s="754"/>
      <c r="X329" s="754"/>
      <c r="Y329" s="754"/>
      <c r="Z329" s="754"/>
      <c r="AA329" s="754"/>
      <c r="AB329" s="754"/>
      <c r="AC329" s="754"/>
      <c r="AD329" s="754"/>
      <c r="AE329" s="754"/>
      <c r="AF329" s="754"/>
      <c r="AG329" s="754"/>
      <c r="AH329" s="17">
        <f t="shared" si="28"/>
        <v>0</v>
      </c>
      <c r="AJ329" s="757"/>
    </row>
    <row r="330" spans="1:36">
      <c r="A330" s="172" t="s">
        <v>618</v>
      </c>
      <c r="B330" s="58"/>
      <c r="C330" s="58"/>
      <c r="D330" s="552"/>
      <c r="E330" s="552"/>
      <c r="F330" s="77"/>
      <c r="G330" s="63"/>
      <c r="H330" s="4"/>
      <c r="I330" s="280"/>
      <c r="J330" s="754"/>
      <c r="K330" s="754"/>
      <c r="L330" s="754"/>
      <c r="M330" s="754"/>
      <c r="N330" s="754"/>
      <c r="O330" s="754"/>
      <c r="P330" s="754"/>
      <c r="Q330" s="754"/>
      <c r="R330" s="754"/>
      <c r="S330" s="754"/>
      <c r="T330" s="754"/>
      <c r="U330" s="754"/>
      <c r="V330" s="754"/>
      <c r="W330" s="754"/>
      <c r="X330" s="754"/>
      <c r="Y330" s="754"/>
      <c r="Z330" s="754"/>
      <c r="AA330" s="754"/>
      <c r="AB330" s="754"/>
      <c r="AC330" s="754"/>
      <c r="AD330" s="754"/>
      <c r="AE330" s="754"/>
      <c r="AF330" s="754"/>
      <c r="AG330" s="754"/>
      <c r="AH330" s="17">
        <f t="shared" si="28"/>
        <v>0</v>
      </c>
      <c r="AJ330" s="757"/>
    </row>
    <row r="331" spans="1:36" ht="25.5">
      <c r="A331" s="294" t="s">
        <v>619</v>
      </c>
      <c r="B331" s="58"/>
      <c r="C331" s="58"/>
      <c r="D331" s="552"/>
      <c r="E331" s="552"/>
      <c r="F331" s="77"/>
      <c r="G331" s="63"/>
      <c r="H331" s="4"/>
      <c r="I331" s="280"/>
      <c r="J331" s="754"/>
      <c r="K331" s="754"/>
      <c r="L331" s="754"/>
      <c r="M331" s="754"/>
      <c r="N331" s="754"/>
      <c r="O331" s="754"/>
      <c r="P331" s="754"/>
      <c r="Q331" s="754"/>
      <c r="R331" s="754"/>
      <c r="S331" s="754"/>
      <c r="T331" s="754"/>
      <c r="U331" s="754"/>
      <c r="V331" s="754"/>
      <c r="W331" s="754"/>
      <c r="X331" s="754"/>
      <c r="Y331" s="754"/>
      <c r="Z331" s="754"/>
      <c r="AA331" s="754"/>
      <c r="AB331" s="754"/>
      <c r="AC331" s="754"/>
      <c r="AD331" s="754"/>
      <c r="AE331" s="754"/>
      <c r="AF331" s="754"/>
      <c r="AG331" s="754"/>
      <c r="AH331" s="17">
        <f t="shared" si="28"/>
        <v>0</v>
      </c>
      <c r="AJ331" s="757"/>
    </row>
    <row r="332" spans="1:36">
      <c r="A332" s="172" t="s">
        <v>486</v>
      </c>
      <c r="B332" s="58"/>
      <c r="C332" s="58"/>
      <c r="D332" s="552"/>
      <c r="E332" s="552"/>
      <c r="F332" s="77"/>
      <c r="G332" s="63"/>
      <c r="H332" s="4"/>
      <c r="I332" s="280"/>
      <c r="J332" s="754"/>
      <c r="K332" s="754"/>
      <c r="L332" s="754"/>
      <c r="M332" s="754"/>
      <c r="N332" s="754"/>
      <c r="O332" s="754"/>
      <c r="P332" s="754"/>
      <c r="Q332" s="754"/>
      <c r="R332" s="754"/>
      <c r="S332" s="754"/>
      <c r="T332" s="754"/>
      <c r="U332" s="754"/>
      <c r="V332" s="754"/>
      <c r="W332" s="754"/>
      <c r="X332" s="754"/>
      <c r="Y332" s="754"/>
      <c r="Z332" s="754"/>
      <c r="AA332" s="754"/>
      <c r="AB332" s="754"/>
      <c r="AC332" s="754"/>
      <c r="AD332" s="754"/>
      <c r="AE332" s="754"/>
      <c r="AF332" s="754"/>
      <c r="AG332" s="754"/>
      <c r="AH332" s="17">
        <f t="shared" si="28"/>
        <v>0</v>
      </c>
      <c r="AJ332" s="757"/>
    </row>
    <row r="333" spans="1:36" ht="38.25">
      <c r="A333" s="294" t="s">
        <v>582</v>
      </c>
      <c r="B333" s="58"/>
      <c r="C333" s="58"/>
      <c r="D333" s="552"/>
      <c r="E333" s="552"/>
      <c r="F333" s="77"/>
      <c r="G333" s="63"/>
      <c r="H333" s="4"/>
      <c r="I333" s="280"/>
      <c r="J333" s="754"/>
      <c r="K333" s="754"/>
      <c r="L333" s="754"/>
      <c r="M333" s="754"/>
      <c r="N333" s="754"/>
      <c r="O333" s="754"/>
      <c r="P333" s="754"/>
      <c r="Q333" s="754"/>
      <c r="R333" s="754"/>
      <c r="S333" s="754"/>
      <c r="T333" s="754"/>
      <c r="U333" s="754"/>
      <c r="V333" s="754"/>
      <c r="W333" s="754"/>
      <c r="X333" s="754"/>
      <c r="Y333" s="754"/>
      <c r="Z333" s="754"/>
      <c r="AA333" s="754"/>
      <c r="AB333" s="754"/>
      <c r="AC333" s="754"/>
      <c r="AD333" s="754"/>
      <c r="AE333" s="754"/>
      <c r="AF333" s="754"/>
      <c r="AG333" s="754"/>
      <c r="AH333" s="17">
        <f t="shared" si="28"/>
        <v>0</v>
      </c>
      <c r="AJ333" s="757"/>
    </row>
    <row r="334" spans="1:36">
      <c r="A334" s="172" t="s">
        <v>588</v>
      </c>
      <c r="B334" s="58"/>
      <c r="C334" s="58"/>
      <c r="D334" s="552"/>
      <c r="E334" s="552"/>
      <c r="F334" s="77"/>
      <c r="G334" s="63"/>
      <c r="H334" s="4"/>
      <c r="I334" s="280"/>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17">
        <f t="shared" si="28"/>
        <v>0</v>
      </c>
      <c r="AJ334" s="757"/>
    </row>
    <row r="335" spans="1:36" ht="25.5">
      <c r="A335" s="294" t="s">
        <v>620</v>
      </c>
      <c r="B335" s="58"/>
      <c r="C335" s="58"/>
      <c r="D335" s="552"/>
      <c r="E335" s="552"/>
      <c r="F335" s="77"/>
      <c r="G335" s="63"/>
      <c r="H335" s="4"/>
      <c r="I335" s="280"/>
      <c r="J335" s="754"/>
      <c r="K335" s="754"/>
      <c r="L335" s="754"/>
      <c r="M335" s="754"/>
      <c r="N335" s="754"/>
      <c r="O335" s="754"/>
      <c r="P335" s="754"/>
      <c r="Q335" s="754"/>
      <c r="R335" s="754"/>
      <c r="S335" s="754"/>
      <c r="T335" s="754"/>
      <c r="U335" s="754"/>
      <c r="V335" s="754"/>
      <c r="W335" s="754"/>
      <c r="X335" s="754"/>
      <c r="Y335" s="754"/>
      <c r="Z335" s="754"/>
      <c r="AA335" s="754"/>
      <c r="AB335" s="754"/>
      <c r="AC335" s="754"/>
      <c r="AD335" s="754"/>
      <c r="AE335" s="754"/>
      <c r="AF335" s="754"/>
      <c r="AG335" s="754"/>
      <c r="AH335" s="17">
        <f t="shared" si="28"/>
        <v>0</v>
      </c>
      <c r="AJ335" s="757"/>
    </row>
    <row r="336" spans="1:36">
      <c r="A336" s="277" t="s">
        <v>8</v>
      </c>
      <c r="B336" s="277"/>
      <c r="C336" s="277"/>
      <c r="D336" s="560"/>
      <c r="E336" s="560"/>
      <c r="F336" s="277"/>
      <c r="G336" s="307"/>
      <c r="H336" s="307"/>
      <c r="I336" s="307"/>
      <c r="J336" s="308">
        <v>326847</v>
      </c>
      <c r="K336" s="308">
        <f>SUM(K286:K335)</f>
        <v>0</v>
      </c>
      <c r="L336" s="308">
        <f>SUM(L286:L335)</f>
        <v>0</v>
      </c>
      <c r="M336" s="308">
        <v>3655</v>
      </c>
      <c r="N336" s="308">
        <f>SUM(N286:N335)</f>
        <v>0</v>
      </c>
      <c r="O336" s="308">
        <v>326874</v>
      </c>
      <c r="P336" s="308"/>
      <c r="Q336" s="308">
        <f>SUM(Q286:Q335)</f>
        <v>7310.3689687795604</v>
      </c>
      <c r="R336" s="308">
        <f>SUM(R286:R335)</f>
        <v>0</v>
      </c>
      <c r="S336" s="308">
        <v>3440</v>
      </c>
      <c r="T336" s="308">
        <f>SUM(T286:T335)</f>
        <v>0</v>
      </c>
      <c r="U336" s="308">
        <v>483849</v>
      </c>
      <c r="V336" s="308">
        <v>477382</v>
      </c>
      <c r="W336" s="308">
        <f>SUM(W286:W335)</f>
        <v>0</v>
      </c>
      <c r="X336" s="308">
        <f>SUM(X286:X335)</f>
        <v>0</v>
      </c>
      <c r="Y336" s="308">
        <f>SUM(Y286:Y335)</f>
        <v>0</v>
      </c>
      <c r="Z336" s="308">
        <f>SUM(Z286:Z335)</f>
        <v>0</v>
      </c>
      <c r="AA336" s="308">
        <v>477382</v>
      </c>
      <c r="AB336" s="308">
        <v>282765</v>
      </c>
      <c r="AC336" s="308">
        <f>SUM(AC286:AC335)</f>
        <v>0</v>
      </c>
      <c r="AD336" s="308">
        <f>SUM(AD286:AD335)</f>
        <v>0</v>
      </c>
      <c r="AE336" s="308">
        <f>SUM(AE286:AE335)</f>
        <v>0</v>
      </c>
      <c r="AF336" s="308">
        <f>SUM(AF286:AF335)</f>
        <v>0</v>
      </c>
      <c r="AG336" s="308">
        <v>282765</v>
      </c>
      <c r="AH336" s="755">
        <v>1577938</v>
      </c>
      <c r="AJ336" s="757"/>
    </row>
    <row r="337" spans="1:36">
      <c r="J337" s="441">
        <f>SUM(J287:J335)</f>
        <v>323723.93</v>
      </c>
      <c r="K337" s="441">
        <f t="shared" ref="K337:AI337" si="33">SUM(K287:K335)</f>
        <v>0</v>
      </c>
      <c r="L337" s="441">
        <f t="shared" si="33"/>
        <v>0</v>
      </c>
      <c r="M337" s="441">
        <f>SUM(M287:M335)</f>
        <v>3655.1844843897802</v>
      </c>
      <c r="N337" s="441">
        <f t="shared" si="33"/>
        <v>0</v>
      </c>
      <c r="O337" s="441">
        <f>SUM(O287:O335)</f>
        <v>327379.11448438978</v>
      </c>
      <c r="P337" s="441">
        <f>SUM(P287:P335)</f>
        <v>483849</v>
      </c>
      <c r="Q337" s="441">
        <f t="shared" si="33"/>
        <v>7310.3689687795604</v>
      </c>
      <c r="R337" s="441">
        <f t="shared" si="33"/>
        <v>0</v>
      </c>
      <c r="S337" s="441">
        <f>SUM(S287:S335)</f>
        <v>3440.1844843897802</v>
      </c>
      <c r="T337" s="441">
        <f t="shared" si="33"/>
        <v>0</v>
      </c>
      <c r="U337" s="441">
        <f>SUM(U287:U335)</f>
        <v>494599.55345316936</v>
      </c>
      <c r="V337" s="441">
        <f>SUM(V287:V335)</f>
        <v>477382.3</v>
      </c>
      <c r="W337" s="441">
        <f t="shared" si="33"/>
        <v>0</v>
      </c>
      <c r="X337" s="441">
        <f t="shared" si="33"/>
        <v>0</v>
      </c>
      <c r="Y337" s="441">
        <f t="shared" si="33"/>
        <v>0</v>
      </c>
      <c r="Z337" s="441">
        <f t="shared" si="33"/>
        <v>0</v>
      </c>
      <c r="AA337" s="441">
        <f t="shared" si="33"/>
        <v>477382.3</v>
      </c>
      <c r="AB337" s="441">
        <f t="shared" si="33"/>
        <v>282765.3</v>
      </c>
      <c r="AC337" s="441">
        <f t="shared" si="33"/>
        <v>0</v>
      </c>
      <c r="AD337" s="441">
        <f t="shared" si="33"/>
        <v>0</v>
      </c>
      <c r="AE337" s="441">
        <f t="shared" si="33"/>
        <v>0</v>
      </c>
      <c r="AF337" s="441">
        <f t="shared" si="33"/>
        <v>0</v>
      </c>
      <c r="AG337" s="441">
        <f t="shared" si="33"/>
        <v>282765.3</v>
      </c>
      <c r="AH337" s="756">
        <f>SUM(AG337+AA337+U337+O337)</f>
        <v>1582126.2679375592</v>
      </c>
      <c r="AI337" s="401">
        <f t="shared" si="33"/>
        <v>0</v>
      </c>
      <c r="AJ337" s="757"/>
    </row>
    <row r="338" spans="1:36">
      <c r="AH338" s="757"/>
      <c r="AJ338" s="757"/>
    </row>
    <row r="339" spans="1:36">
      <c r="O339" s="401">
        <f>SUM(J337:N337)</f>
        <v>327379.11448438978</v>
      </c>
      <c r="U339" s="401">
        <f>SUM(P337:T337)</f>
        <v>494599.55345316936</v>
      </c>
      <c r="AA339" s="401">
        <f>SUM(V337:Z337)</f>
        <v>477382.3</v>
      </c>
      <c r="AG339" s="401">
        <f>SUM(AB337:AF337)</f>
        <v>282765.3</v>
      </c>
      <c r="AH339" s="757"/>
      <c r="AJ339" s="757"/>
    </row>
    <row r="340" spans="1:36">
      <c r="AH340" s="757"/>
      <c r="AJ340" s="757"/>
    </row>
    <row r="341" spans="1:36">
      <c r="A341" s="442" t="s">
        <v>693</v>
      </c>
      <c r="AH341" s="758">
        <f>SUM(AH337+AJ277+AJ213+AJ187+AJ133+AJ93+AJ66+AK30)</f>
        <v>24741236.989457559</v>
      </c>
      <c r="AJ341" s="757"/>
    </row>
    <row r="342" spans="1:36">
      <c r="L342" s="335"/>
      <c r="M342" s="480" t="s">
        <v>1</v>
      </c>
      <c r="N342" s="480" t="s">
        <v>9</v>
      </c>
      <c r="O342" s="480" t="s">
        <v>218</v>
      </c>
      <c r="P342" s="480" t="s">
        <v>17</v>
      </c>
      <c r="Q342" s="480" t="s">
        <v>19</v>
      </c>
      <c r="R342" s="480" t="s">
        <v>18</v>
      </c>
      <c r="AH342" s="757"/>
      <c r="AJ342" s="757"/>
    </row>
    <row r="343" spans="1:36">
      <c r="L343" s="501">
        <v>2013</v>
      </c>
      <c r="M343" s="500">
        <f>SUM(L30+L66+L93+L133+L187+L213+L277+J337)</f>
        <v>7414395.6159999995</v>
      </c>
      <c r="N343" s="500">
        <f>SUM(M30+M66+M93+M133+M187+M213+M277+K337)</f>
        <v>0</v>
      </c>
      <c r="O343" s="500">
        <f>SUM(N30+N66+N93+N133+N187+N213+N277+L337)</f>
        <v>0</v>
      </c>
      <c r="P343" s="500">
        <f>SUM(O30+O66+O93+O133+O187+O213+O277+M337)</f>
        <v>23555.184484389782</v>
      </c>
      <c r="Q343" s="500">
        <f>SUM(P30+P66+P93+P133+P187+P213+P277+N337)</f>
        <v>500</v>
      </c>
      <c r="R343" s="502">
        <f>SUM(M343:Q343)</f>
        <v>7438450.8004843891</v>
      </c>
      <c r="AH343" s="757"/>
      <c r="AJ343" s="757"/>
    </row>
    <row r="344" spans="1:36">
      <c r="L344" s="501">
        <v>2014</v>
      </c>
      <c r="M344" s="500">
        <f>SUM(R30+R66+R93+R133+R187+R213+R277+P337)</f>
        <v>7742802.8660000004</v>
      </c>
      <c r="N344" s="500">
        <f>SUM(S30+S66+S93+S133+S187+S213+S277+Q337)</f>
        <v>7310.3689687795604</v>
      </c>
      <c r="O344" s="500">
        <f>SUM(T30+T66+T93+T133+T187+T213+T277+R337)</f>
        <v>0</v>
      </c>
      <c r="P344" s="500">
        <f>SUM(U30+U66+U93+U133+U187+U213+U277+S337)</f>
        <v>14940.18448438978</v>
      </c>
      <c r="Q344" s="500">
        <f>SUM(V30+V66+V93+V133+V187+V213+V277+T337)</f>
        <v>500</v>
      </c>
      <c r="R344" s="502">
        <f>SUM(M344:Q344)</f>
        <v>7765553.4194531692</v>
      </c>
      <c r="AG344" s="447" t="s">
        <v>694</v>
      </c>
      <c r="AH344" s="758">
        <f>AH341+'Annex A'!I69</f>
        <v>60740719.71180056</v>
      </c>
      <c r="AJ344" s="757"/>
    </row>
    <row r="345" spans="1:36">
      <c r="L345" s="501">
        <v>2015</v>
      </c>
      <c r="M345" s="500">
        <f>SUM(X30+X66+X93+X133+X187+X213+X277+V337)</f>
        <v>4542489.1362199998</v>
      </c>
      <c r="N345" s="500">
        <f>SUM(Y30+Y66+Y93+Y133+Y187+Y213+Y277+W337)</f>
        <v>0</v>
      </c>
      <c r="O345" s="500">
        <f>SUM(Z30+Z66+Z93+Z133+Z187+Z213+Z277+X337)</f>
        <v>0</v>
      </c>
      <c r="P345" s="500">
        <f>SUM(AA30+AA66+AA93+AA133+AA187+AA213+AA277+Y337)</f>
        <v>20500</v>
      </c>
      <c r="Q345" s="500">
        <f>SUM(AB30+AB66+AB93+AB133+AB187+AB213+AB277+Z337)</f>
        <v>500</v>
      </c>
      <c r="R345" s="502">
        <f>SUM(M345:Q345)</f>
        <v>4563489.1362199998</v>
      </c>
      <c r="AG345" t="s">
        <v>695</v>
      </c>
      <c r="AH345" s="757"/>
      <c r="AJ345" s="757"/>
    </row>
    <row r="346" spans="1:36">
      <c r="L346" s="501">
        <v>2016</v>
      </c>
      <c r="M346" s="500">
        <f>SUM(AD30+AD66+AD93+AD133+AD187+AD213+AD277+AB337)</f>
        <v>4930743.6332999999</v>
      </c>
      <c r="N346" s="500">
        <f>SUM(AE30+AE66+AE93+AE133+AE187+AE213+AE277+AC337)</f>
        <v>0</v>
      </c>
      <c r="O346" s="500">
        <f>SUM(AF30+AF66+AF93+AF133+AF187+AF213+AF277+AD337)</f>
        <v>10000</v>
      </c>
      <c r="P346" s="500">
        <f>SUM(AG30+AG66+AG93+AG133+AG187+AG213+AG277+AE337)</f>
        <v>32500</v>
      </c>
      <c r="Q346" s="500">
        <f>SUM(AH30+AH66+AH93+AH133+AH187+AH213+AH277+AF337)</f>
        <v>500</v>
      </c>
      <c r="R346" s="502">
        <f>SUM(M346:Q346)</f>
        <v>4973743.6332999999</v>
      </c>
      <c r="AG346" t="s">
        <v>696</v>
      </c>
      <c r="AH346" s="757"/>
      <c r="AJ346" s="757"/>
    </row>
    <row r="347" spans="1:36">
      <c r="L347" s="501" t="s">
        <v>18</v>
      </c>
      <c r="M347" s="500">
        <f>SUM(M343:M346)</f>
        <v>24630431.25152</v>
      </c>
      <c r="N347" s="500">
        <f>SUM(N343:N346)</f>
        <v>7310.3689687795604</v>
      </c>
      <c r="O347" s="500">
        <f>SUM(O343:O346)</f>
        <v>10000</v>
      </c>
      <c r="P347" s="500">
        <f>SUM(P343:P346)</f>
        <v>91495.36896877957</v>
      </c>
      <c r="Q347" s="500">
        <f>SUM(Q343:Q346)</f>
        <v>2000</v>
      </c>
      <c r="R347" s="502">
        <f>SUM(M347:Q347)</f>
        <v>24741236.989457563</v>
      </c>
      <c r="AH347" s="757"/>
      <c r="AJ347" s="757"/>
    </row>
    <row r="348" spans="1:36">
      <c r="R348" s="503">
        <f>SUM(R343:R346)</f>
        <v>24741236.989457559</v>
      </c>
      <c r="AH348" s="757"/>
      <c r="AJ348" s="757"/>
    </row>
    <row r="349" spans="1:36">
      <c r="AH349" s="757"/>
      <c r="AJ349" s="757"/>
    </row>
    <row r="350" spans="1:36">
      <c r="R350" s="487">
        <f>R347-AH341</f>
        <v>0</v>
      </c>
      <c r="AH350" s="757"/>
      <c r="AJ350" s="757"/>
    </row>
    <row r="351" spans="1:36">
      <c r="AH351" s="757"/>
      <c r="AJ351" s="757"/>
    </row>
    <row r="352" spans="1:36">
      <c r="AH352" s="757"/>
      <c r="AJ352" s="757"/>
    </row>
    <row r="353" spans="10:36">
      <c r="L353" s="335"/>
      <c r="M353" s="684">
        <v>2013</v>
      </c>
      <c r="N353" s="684">
        <v>2014</v>
      </c>
      <c r="O353" s="684">
        <v>2015</v>
      </c>
      <c r="P353" s="684">
        <v>2016</v>
      </c>
      <c r="Q353" s="484" t="s">
        <v>18</v>
      </c>
      <c r="R353" s="498"/>
      <c r="S353" s="498" t="s">
        <v>1</v>
      </c>
      <c r="T353" s="498" t="s">
        <v>9</v>
      </c>
      <c r="U353" s="498" t="s">
        <v>218</v>
      </c>
      <c r="V353" s="498" t="s">
        <v>17</v>
      </c>
      <c r="W353" s="498" t="s">
        <v>19</v>
      </c>
      <c r="X353" s="498" t="s">
        <v>18</v>
      </c>
      <c r="AH353" s="757"/>
      <c r="AJ353" s="757"/>
    </row>
    <row r="354" spans="10:36">
      <c r="L354" s="501" t="s">
        <v>80</v>
      </c>
      <c r="M354" s="504">
        <f>SUMIF($G$8:$G$275,"Nationwide",Q$8:Q$275)+SUMIF($E$286:$E$335,"Nationwide",O$286:O$335)</f>
        <v>1420685.8</v>
      </c>
      <c r="N354" s="504">
        <f>SUMIF($G$8:$G$275,"Nationwide",$W$8:$W$275)+SUMIF($E$286:$E$335,"Nationwide",$U$286:$U$335)</f>
        <v>2094960.45</v>
      </c>
      <c r="O354" s="504">
        <f>SUMIF($G$8:$G$275,"Nationwide",$AC$8:$AC$275)+SUMIF($E$286:$E$335,"Nationwide",$AA$286:$AA$335)</f>
        <v>2244939.52</v>
      </c>
      <c r="P354" s="504">
        <f>SUMIF($G$8:$G$275,"Nationwide",$AI$8:$AI$275)+SUMIF($E$286:$E$335,"Nationwide",$AG$286:$AG$335)</f>
        <v>2286091.02</v>
      </c>
      <c r="Q354" s="504">
        <f>SUM(M354:P354)</f>
        <v>8046676.7899999991</v>
      </c>
      <c r="R354" s="696">
        <v>2013</v>
      </c>
      <c r="S354" s="498">
        <v>7472395.6159999995</v>
      </c>
      <c r="T354" s="498">
        <v>0</v>
      </c>
      <c r="U354" s="498">
        <v>0</v>
      </c>
      <c r="V354" s="498">
        <v>23555.184484389782</v>
      </c>
      <c r="W354" s="498">
        <v>500</v>
      </c>
      <c r="X354" s="498">
        <v>7496450.8004843891</v>
      </c>
      <c r="AH354" s="757"/>
      <c r="AJ354" s="757"/>
    </row>
    <row r="355" spans="10:36">
      <c r="L355" s="501" t="s">
        <v>372</v>
      </c>
      <c r="M355" s="504">
        <f>SUMIF($G$8:$G$275,"Interregional",Q$8:Q$275)+SUMIF($E$286:$E$335,"Interregional",O$286:O$335)</f>
        <v>11315.314484389781</v>
      </c>
      <c r="N355" s="504">
        <f>SUMIF($G$8:$G$275,"Interregional",$W$8:$W$275)+SUMIF($E$286:$E$335,"Interregional",$U$286:$U$335)</f>
        <v>44389.283453169337</v>
      </c>
      <c r="O355" s="504">
        <f>SUMIF($G$8:$G$275,"Interregional",$AC$8:$AC$275)+SUMIF($E$286:$E$335,"Interregional",$AA$286:$AA$335)</f>
        <v>370967.30670000002</v>
      </c>
      <c r="P355" s="504">
        <f>SUMIF($G$8:$G$275,"Interregional",$AI$8:$AI$275)+SUMIF($E$286:$E$335,"Interregional",$AG$286:$AG$335)</f>
        <v>173568.51329999999</v>
      </c>
      <c r="Q355" s="504">
        <f t="shared" ref="Q355:Q362" si="34">SUM(M355:P355)</f>
        <v>600240.41793755908</v>
      </c>
      <c r="R355" s="696">
        <v>2014</v>
      </c>
      <c r="S355" s="498">
        <v>8196106.8660000004</v>
      </c>
      <c r="T355" s="498">
        <v>0</v>
      </c>
      <c r="U355" s="498">
        <v>0</v>
      </c>
      <c r="V355" s="498">
        <v>14940.18448438978</v>
      </c>
      <c r="W355" s="498">
        <v>500</v>
      </c>
      <c r="X355" s="498">
        <v>8211547.05048439</v>
      </c>
      <c r="AH355" s="757"/>
      <c r="AJ355" s="757"/>
    </row>
    <row r="356" spans="10:36">
      <c r="L356" s="501" t="s">
        <v>64</v>
      </c>
      <c r="M356" s="504"/>
      <c r="N356" s="504"/>
      <c r="O356" s="504"/>
      <c r="P356" s="504"/>
      <c r="Q356" s="504">
        <f t="shared" si="34"/>
        <v>0</v>
      </c>
      <c r="R356" s="696">
        <v>2015</v>
      </c>
      <c r="S356" s="498">
        <v>6255859.1362199998</v>
      </c>
      <c r="T356" s="498">
        <v>0</v>
      </c>
      <c r="U356" s="498">
        <v>0</v>
      </c>
      <c r="V356" s="498">
        <v>20500</v>
      </c>
      <c r="W356" s="498">
        <v>500</v>
      </c>
      <c r="X356" s="498">
        <v>6276859.1362199998</v>
      </c>
      <c r="AH356" s="757"/>
      <c r="AJ356" s="757"/>
    </row>
    <row r="357" spans="10:36">
      <c r="J357" s="498">
        <f>+M357+M358</f>
        <v>34900</v>
      </c>
      <c r="L357" s="685" t="s">
        <v>655</v>
      </c>
      <c r="M357" s="504">
        <f>SUMIF($G$8:$G$275,"NCR",Q$8:Q$275)+SUMIF($E$286:$E$335,"NCR",O$286:O$335)</f>
        <v>19900</v>
      </c>
      <c r="N357" s="504">
        <f>SUMIF($G$8:$G$275,"NCR",$W$8:$W$275)+SUMIF($E$286:$E$335,"NCR",$U$286:$U$335)</f>
        <v>56010</v>
      </c>
      <c r="O357" s="504">
        <f>SUMIF($G$8:$G$275,"NCR",$AC$8:$AC$275)+SUMIF($E$286:$E$335,"NCR",$AA$286:$AA$335)</f>
        <v>528380.62352000002</v>
      </c>
      <c r="P357" s="504">
        <f>SUMIF($G$8:$G$275,"NCR",$AI$8:$AI$275)+SUMIF($E$286:$E$335,"NCR",$AG$286:$AG$335)</f>
        <v>924300.41399999999</v>
      </c>
      <c r="Q357" s="504">
        <f t="shared" si="34"/>
        <v>1528591.03752</v>
      </c>
      <c r="R357" s="696">
        <v>2016</v>
      </c>
      <c r="S357" s="498">
        <v>5623693.6332999999</v>
      </c>
      <c r="T357" s="498">
        <v>0</v>
      </c>
      <c r="U357" s="498">
        <v>10000</v>
      </c>
      <c r="V357" s="498">
        <v>32500</v>
      </c>
      <c r="W357" s="498">
        <v>500</v>
      </c>
      <c r="X357" s="498">
        <v>5666693.6332999999</v>
      </c>
      <c r="AH357" s="757"/>
      <c r="AJ357" s="757"/>
    </row>
    <row r="358" spans="10:36">
      <c r="L358" s="685" t="s">
        <v>702</v>
      </c>
      <c r="M358" s="504">
        <f>SUMIF($G$8:$G$275,"IV-A",Q$8:Q$275)+SUMIF($E$286:$E$335,"IV-A",O$286:O$335)</f>
        <v>15000</v>
      </c>
      <c r="N358" s="504">
        <f>SUMIF($G$8:$G$275,"IV-A",$W$8:$W$275)+SUMIF($E$286:$E$335,"IV-A",$U$286:$U$335)</f>
        <v>0</v>
      </c>
      <c r="O358" s="504">
        <f>SUMIF($G$8:$G$275,"IV-A",$AC$8:$AC$275)+SUMIF($E$286:$E$335,"IV-A",$AA$286:$AA$335)</f>
        <v>0</v>
      </c>
      <c r="P358" s="504">
        <f>SUMIF($G$8:$G$275,"IV-A",$AI$8:$AI$275)+SUMIF($E$286:$E$335,"IV-A",$AG$286:$AG$335)</f>
        <v>0</v>
      </c>
      <c r="Q358" s="504">
        <f t="shared" si="34"/>
        <v>15000</v>
      </c>
      <c r="R358" s="696" t="s">
        <v>18</v>
      </c>
      <c r="S358" s="498">
        <v>27548055.25152</v>
      </c>
      <c r="T358" s="498">
        <v>0</v>
      </c>
      <c r="U358" s="498">
        <v>10000</v>
      </c>
      <c r="V358" s="498">
        <v>91495.36896877957</v>
      </c>
      <c r="W358" s="498">
        <v>2000</v>
      </c>
      <c r="X358" s="498">
        <v>27651550.620488781</v>
      </c>
      <c r="AH358" s="757"/>
      <c r="AJ358" s="757"/>
    </row>
    <row r="359" spans="10:36">
      <c r="L359" s="501" t="s">
        <v>700</v>
      </c>
      <c r="M359" s="504">
        <f>SUMIF($G$8:$G$275,"Central Office OMB",Q$8:Q$275)+SUMIF($E$286:$E$335,"Central Office OMB",O$286:O$335)</f>
        <v>0</v>
      </c>
      <c r="N359" s="504">
        <f>SUMIF($G$8:$G$275,"Central Office OMB",$W$8:$W$275)+SUMIF($E$286:$E$335,"Central Office OMB",$U$286:$U$335)</f>
        <v>56778</v>
      </c>
      <c r="O359" s="504">
        <f>SUMIF($G$8:$G$275,"Central Office OMB",$AC$8:$AC$275)+SUMIF($E$286:$E$335,"Central Office OMB",$AA$286:$AA$335)</f>
        <v>0</v>
      </c>
      <c r="P359" s="504">
        <f>SUMIF($G$8:$G$275,"Central Office OMB",$AI$8:$AI$275)+SUMIF($E$286:$E$335,"Central Office OMB",$AG$286:$AG$335)</f>
        <v>0</v>
      </c>
      <c r="Q359" s="504">
        <f t="shared" si="34"/>
        <v>56778</v>
      </c>
      <c r="R359" s="696"/>
      <c r="S359" s="498"/>
      <c r="T359" s="498"/>
      <c r="U359" s="498"/>
      <c r="V359" s="498"/>
      <c r="W359" s="498"/>
      <c r="X359" s="498">
        <v>27651550.620488778</v>
      </c>
      <c r="AH359" s="757"/>
      <c r="AJ359" s="757"/>
    </row>
    <row r="360" spans="10:36">
      <c r="L360" s="501" t="s">
        <v>701</v>
      </c>
      <c r="M360" s="504">
        <f>SUMIF($G$8:$G$275,"National Office BIR",Q$8:Q$275)+SUMIF($E$286:$E$335,"National Office BIR",O$286:O$335)</f>
        <v>5374914</v>
      </c>
      <c r="N360" s="504">
        <f>SUMIF($G$8:$G$275,"National Office BIR",$W$8:$W$275)+SUMIF($E$286:$E$335,"National Office BIR",$U$286:$U$335)</f>
        <v>4900280</v>
      </c>
      <c r="O360" s="504">
        <f>SUMIF($G$8:$G$275,"National Office BIR",$AC$8:$AC$275)+SUMIF($E$286:$E$335,"National Office BIR",$AA$286:$AA$335)</f>
        <v>789566</v>
      </c>
      <c r="P360" s="504">
        <f>SUMIF($G$8:$G$275,"National Office BIR",$AI$8:$AI$275)+SUMIF($E$286:$E$335,"National Office BIR",$AG$286:$AG$335)</f>
        <v>934648</v>
      </c>
      <c r="Q360" s="504">
        <f t="shared" si="34"/>
        <v>11999408</v>
      </c>
      <c r="R360" s="679"/>
      <c r="AH360" s="757"/>
      <c r="AJ360" s="757"/>
    </row>
    <row r="361" spans="10:36">
      <c r="L361" s="501" t="s">
        <v>697</v>
      </c>
      <c r="M361" s="504">
        <f>SUMIF($G$8:$G$275,"National Office Batasan",Q$8:Q$275)+SUMIF($E$286:$E$335,"National Office Batasan",O$286:O$335)</f>
        <v>58000</v>
      </c>
      <c r="N361" s="504">
        <f>SUMIF($G$8:$G$275,"National Office Batasan",$W$8:$W$275)+SUMIF($E$286:$E$335,"National Office Batasan",$U$286:$U$335)</f>
        <v>453304</v>
      </c>
      <c r="O361" s="504">
        <f>SUMIF($G$8:$G$275,"National Office Batasan",$AC$8:$AC$275)+SUMIF($E$286:$E$335,"National Office Batasan",$AA$286:$AA$335)</f>
        <v>1713370</v>
      </c>
      <c r="P361" s="504">
        <f>SUMIF($G$8:$G$275,"National Office Batasan",$AI$8:$AI$275)+SUMIF($E$286:$E$335,"National Office Batasan",$AG$286:$AG$335)</f>
        <v>692950</v>
      </c>
      <c r="Q361" s="504">
        <f t="shared" si="34"/>
        <v>2917624</v>
      </c>
      <c r="R361" s="679"/>
      <c r="AH361" s="757"/>
      <c r="AJ361" s="757"/>
    </row>
    <row r="362" spans="10:36">
      <c r="L362" s="501" t="s">
        <v>704</v>
      </c>
      <c r="M362" s="504">
        <f>SUMIF($G$8:$G$275,"Unidentified",Q$8:Q$275)+SUMIF($E$286:$E$335,"Unidentified",O$286:O$335)</f>
        <v>197469.68599999999</v>
      </c>
      <c r="N362" s="504">
        <f>SUMIF($G$8:$G$275,"Unidentified",$W$8:$W$275)+SUMIF($E$286:$E$335,"Unidentified",$U$286:$U$335)</f>
        <v>218969.68599999999</v>
      </c>
      <c r="O362" s="504">
        <f>SUMIF($G$8:$G$275,"Unidentified",$AC$8:$AC$275)+SUMIF($E$286:$E$335,"Unidentified",$AA$286:$AA$335)</f>
        <v>235469.68599999999</v>
      </c>
      <c r="P362" s="504">
        <f>SUMIF($G$8:$G$275,"Unidentified",$AI$8:$AI$275)+SUMIF($E$286:$E$335,"Unidentified",$AG$286:$AG$335)</f>
        <v>260969.68599999999</v>
      </c>
      <c r="Q362" s="504">
        <f t="shared" si="34"/>
        <v>912878.74399999995</v>
      </c>
      <c r="R362" s="679"/>
      <c r="AH362" s="757"/>
      <c r="AJ362" s="757"/>
    </row>
    <row r="363" spans="10:36">
      <c r="K363" s="695"/>
      <c r="L363" s="634" t="s">
        <v>18</v>
      </c>
      <c r="M363" s="504">
        <f>SUM(M354:M362)</f>
        <v>7097284.80048439</v>
      </c>
      <c r="N363" s="504">
        <f>SUM(N354:N362)</f>
        <v>7824691.4194531692</v>
      </c>
      <c r="O363" s="504">
        <f>SUM(O354:O362)</f>
        <v>5882693.1362199998</v>
      </c>
      <c r="P363" s="504">
        <f>SUM(P354:P362)</f>
        <v>5272527.6332999999</v>
      </c>
      <c r="Q363" s="504">
        <f>SUM(Q354:Q362)</f>
        <v>26077196.989457559</v>
      </c>
      <c r="R363" s="679"/>
      <c r="AH363" s="757"/>
      <c r="AJ363" s="757"/>
    </row>
    <row r="364" spans="10:36">
      <c r="M364" s="504"/>
      <c r="Q364" s="498">
        <f>SUM(M363:P363)</f>
        <v>26077196.989457559</v>
      </c>
      <c r="AH364" s="757"/>
      <c r="AJ364" s="757"/>
    </row>
    <row r="365" spans="10:36">
      <c r="M365" s="498"/>
      <c r="AH365" s="757"/>
      <c r="AJ365" s="757"/>
    </row>
    <row r="366" spans="10:36">
      <c r="L366" s="679"/>
      <c r="M366" s="498">
        <f>+M361+M360+M359</f>
        <v>5432914</v>
      </c>
      <c r="Q366" s="498"/>
      <c r="R366" s="498">
        <f>+X359-Q364</f>
        <v>1574353.6310312189</v>
      </c>
      <c r="AH366" s="757"/>
      <c r="AJ366" s="757"/>
    </row>
    <row r="367" spans="10:36">
      <c r="L367" s="680"/>
      <c r="AH367" s="757"/>
      <c r="AJ367" s="757"/>
    </row>
    <row r="368" spans="10:36">
      <c r="L368" s="679" t="s">
        <v>705</v>
      </c>
      <c r="AH368" s="757"/>
      <c r="AJ368" s="757"/>
    </row>
    <row r="369" spans="6:36">
      <c r="L369" s="679"/>
      <c r="AH369" s="757"/>
      <c r="AJ369" s="757"/>
    </row>
    <row r="370" spans="6:36" ht="15.75">
      <c r="F370" s="83"/>
      <c r="G370" s="83"/>
      <c r="H370" s="699"/>
      <c r="I370" s="698" t="s">
        <v>712</v>
      </c>
      <c r="J370" s="1227" t="s">
        <v>713</v>
      </c>
      <c r="K370" s="1227"/>
      <c r="L370" s="1227"/>
      <c r="M370" s="1227"/>
      <c r="N370" s="1227"/>
      <c r="O370" s="1227"/>
      <c r="P370" s="1227"/>
      <c r="AH370" s="757"/>
      <c r="AJ370" s="757"/>
    </row>
    <row r="371" spans="6:36" ht="15.75">
      <c r="F371" s="83" t="s">
        <v>714</v>
      </c>
      <c r="G371" s="83"/>
      <c r="H371" s="699"/>
      <c r="I371" s="698"/>
      <c r="J371" s="697">
        <v>2013</v>
      </c>
      <c r="K371" s="697">
        <v>2014</v>
      </c>
      <c r="L371" s="697">
        <v>2015</v>
      </c>
      <c r="M371" s="697">
        <v>2016</v>
      </c>
      <c r="N371" s="697" t="s">
        <v>81</v>
      </c>
      <c r="O371" s="697" t="s">
        <v>709</v>
      </c>
      <c r="P371" s="697" t="s">
        <v>710</v>
      </c>
      <c r="AH371" s="757"/>
      <c r="AJ371" s="757"/>
    </row>
    <row r="372" spans="6:36" ht="15.75">
      <c r="F372" s="83"/>
      <c r="G372" s="83"/>
      <c r="H372" s="700" t="s">
        <v>80</v>
      </c>
      <c r="I372" s="749">
        <f>COUNTIF(F9:F275,"Nationwide")+COUNTIF(D287:D335,"Nationwide")</f>
        <v>43</v>
      </c>
      <c r="J372" s="701">
        <f ca="1">SUMIF($F$9:$F$275,"Nationwide",$Q$9:Q274)+SUMIF($D$287:$D$335,"Nationwide",$O$287:$O$335)</f>
        <v>1420685.8</v>
      </c>
      <c r="K372" s="701">
        <f ca="1">SUMIF($F$9:$F$275,"Nationwide",$W$9:$W$274)+SUMIF($D$287:$D$335,"Nationwide",$U$287:$U$335)</f>
        <v>2094960.45</v>
      </c>
      <c r="L372" s="701">
        <f ca="1">SUMIF($F$9:$F$275,"Nationwide",$AC$9:$AC$274)+SUMIF($D$287:$D$335,"Nationwide",$AA$287:$AA$335)</f>
        <v>2244939.52</v>
      </c>
      <c r="M372" s="701">
        <f ca="1">SUMIF($F$9:$F$275,"Nationwide",$AI$9:$AI$274)+SUMIF($D$287:$D$335,"Nationwide",$AG$287:$AG$335)</f>
        <v>2286091.02</v>
      </c>
      <c r="N372" s="753">
        <f>SUMIF($F$9:$F$275,"Nationwide",$AJ$9:$AJ$275)+SUMIF($D287:$D335,"Nationwide",$AH$287:$AH$335)</f>
        <v>8046676.790000001</v>
      </c>
      <c r="O372" s="702"/>
      <c r="P372" s="702"/>
      <c r="Q372" s="753"/>
      <c r="R372" s="487">
        <f>+Q372-N372</f>
        <v>-8046676.790000001</v>
      </c>
      <c r="U372" s="503">
        <v>27651550.620488778</v>
      </c>
      <c r="V372" s="498">
        <f>+U372-Q364</f>
        <v>1574353.6310312189</v>
      </c>
      <c r="AH372" s="757"/>
      <c r="AJ372" s="757"/>
    </row>
    <row r="373" spans="6:36" ht="15.75">
      <c r="F373" s="83"/>
      <c r="G373" s="83"/>
      <c r="H373" s="700" t="s">
        <v>372</v>
      </c>
      <c r="I373" s="749">
        <f>COUNTIF($F$9:$F$275,"Interregional")+COUNTIF($D$287:$D$335,"Interregional")</f>
        <v>6</v>
      </c>
      <c r="J373" s="701">
        <f>SUMIF($F$9:$F$275,"Interregional",$Q$9:Q275)+SUMIF($D$287:D335,"Interregional",$O$287:$O$335)</f>
        <v>11315.314484389781</v>
      </c>
      <c r="K373" s="701">
        <f ca="1">SUMIF($F$9:$F$275,"Interregional",$W$9:$W$274)+SUMIF($D$287:$D$335,"Interregional",$U$287:$U$335)</f>
        <v>44389.283453169337</v>
      </c>
      <c r="L373" s="701">
        <f ca="1">SUMIF($F$9:$F$275,"Interregional",$AC$9:$AC$274)+SUMIF($D$287:$D$335,"Interregional",$AA$287:$AA$335)</f>
        <v>370967.30670000002</v>
      </c>
      <c r="M373" s="701">
        <f ca="1">SUMIF($F$9:$F$275,"Interregional",$AI$9:$AI$274)+SUMIF($D$287:$D$335,"Interregional",$AG$287:$AG$335)</f>
        <v>173568.51329999999</v>
      </c>
      <c r="N373" s="753">
        <f>SUMIF($F$9:$F$275,"Interregional",$AJ$9:$AJ$275)+SUMIF($D287:$D335,"Interregional",$AH$287:$AH$335)</f>
        <v>600240.41793755919</v>
      </c>
      <c r="O373" s="703"/>
      <c r="P373" s="703"/>
      <c r="AH373" s="757"/>
      <c r="AJ373" s="757"/>
    </row>
    <row r="374" spans="6:36" ht="15.75">
      <c r="F374" s="83"/>
      <c r="G374" s="83"/>
      <c r="H374" s="700" t="s">
        <v>711</v>
      </c>
      <c r="I374" s="749">
        <f>COUNTIF($F$9:$F$275,"Region-Specific")+COUNTIF($D$287:$D$335,"Region-Specific")</f>
        <v>5</v>
      </c>
      <c r="J374" s="701">
        <f>SUMIF($F$9:$F$275,"Region-Specific",$Q$9:Q275)+SUMIF($D$287:D335,"Region-Specific",$O$287:$O$335)</f>
        <v>34900</v>
      </c>
      <c r="K374" s="701">
        <f ca="1">SUMIF($F$9:$F$275,"Region-Specific",$W$9:$W$274)+SUMIF($D$287:$D$335,"Region-Specific",$U$287:$U$335)</f>
        <v>56010</v>
      </c>
      <c r="L374" s="701">
        <f ca="1">SUMIF($F$9:$F$275,"Region-specific",$AC$9:$AC$274)+SUMIF($D$287:$D$335,"Region-specific",$AA$287:$AA$335)</f>
        <v>528380.62352000002</v>
      </c>
      <c r="M374" s="701">
        <f ca="1">SUMIF($F$9:$F$275,"Region-Specific",$AI$9:$AI$274)+SUMIF($D$287:$D$335,"Region-Specific",$AG$287:$AG$335)</f>
        <v>924300.41399999999</v>
      </c>
      <c r="N374" s="753">
        <f>SUMIF($F$9:$F$275,"Region-specific",$AJ$9:$AJ$275)+SUMIF($D289:$D337,"Region-specific",$AH$287:$AH$335)</f>
        <v>1543591.03752</v>
      </c>
      <c r="O374" s="703"/>
      <c r="P374" s="703"/>
      <c r="AH374" s="757"/>
      <c r="AJ374" s="757"/>
    </row>
    <row r="375" spans="6:36" ht="15.75">
      <c r="F375" s="83"/>
      <c r="G375" s="83"/>
      <c r="H375" s="704" t="s">
        <v>670</v>
      </c>
      <c r="I375" s="750">
        <f>COUNTIF($F$9:$F$335,"I")</f>
        <v>0</v>
      </c>
      <c r="J375" s="701">
        <f ca="1">SUMIF($G$9:$G$275,"I",$Q$9:Q275)+SUMIF($E$287:E337,"I",$O$287:$O$335)</f>
        <v>0</v>
      </c>
      <c r="K375" s="701">
        <f ca="1">SUMIF($G$9:$G$275,"I",$W$9:$W$274)+SUMIF($D$287:$D$335,"I",$U$287:$U$335)</f>
        <v>0</v>
      </c>
      <c r="L375" s="701">
        <f ca="1">SUMIF($F$9:$F$275,"I",$AC$9:$AC$274)+SUMIF($D$287:$D$335,"I",$AA$287:$AA$335)</f>
        <v>0</v>
      </c>
      <c r="M375" s="701">
        <f ca="1">SUMIF($F$9:$F$275,"I",$AI$9:$AI$274)+SUMIF($D$287:$D$335,"I",$AG$287:$AG$335)</f>
        <v>0</v>
      </c>
      <c r="N375" s="753">
        <f>SUMIF($F$9:$F$275,"I",$AJ$9:$AJ$275)+SUMIF($D290:$D338,"I",$AH$287:$AH$335)</f>
        <v>0</v>
      </c>
      <c r="O375" s="703"/>
      <c r="P375" s="703"/>
      <c r="AH375" s="757"/>
      <c r="AJ375" s="757"/>
    </row>
    <row r="376" spans="6:36" ht="15.75">
      <c r="F376" s="83"/>
      <c r="G376" s="83"/>
      <c r="H376" s="704" t="s">
        <v>669</v>
      </c>
      <c r="I376" s="750">
        <f>COUNTIF($F$9:$F$335,"II")</f>
        <v>0</v>
      </c>
      <c r="J376" s="701">
        <f ca="1">SUMIF($G$9:$G$275,"iI",$Q$9:Q278)+SUMIF($E$287:E338,"iI",$O$287:$O$335)</f>
        <v>0</v>
      </c>
      <c r="K376" s="701">
        <f ca="1">SUMIF($G$9:$G$275,"II",$W$9:$W$274)+SUMIF($D$287:$D$335,"II",$U$287:$U$335)</f>
        <v>0</v>
      </c>
      <c r="L376" s="701">
        <f ca="1">SUMIF($F$9:$F$275,"II",$AC$9:$AC$274)+SUMIF($D$287:$D$335,"II",$AA$287:$AA$335)</f>
        <v>0</v>
      </c>
      <c r="M376" s="701">
        <f ca="1">SUMIF($F$9:$F$275,"II",$AI$9:$AI$274)+SUMIF($D$287:$D$335,"II",$AG$287:$AG$335)</f>
        <v>0</v>
      </c>
      <c r="N376" s="753">
        <f>SUMIF($F$9:$F$275,"II",$AJ$9:$AJ$275)+SUMIF($D291:$D339,"II",$AH$287:$AH$335)</f>
        <v>0</v>
      </c>
      <c r="O376" s="703"/>
      <c r="P376" s="703"/>
      <c r="AH376" s="757"/>
      <c r="AJ376" s="757"/>
    </row>
    <row r="377" spans="6:36" ht="15.75">
      <c r="F377" s="83"/>
      <c r="G377" s="83"/>
      <c r="H377" s="704" t="s">
        <v>668</v>
      </c>
      <c r="I377" s="750">
        <f>COUNTIF($F$9:$F$335,"III")</f>
        <v>0</v>
      </c>
      <c r="J377" s="701">
        <f ca="1">SUMIF($G$9:$G$275,"III",$Q$9:Q279)+SUMIF($E$287:E339,"III",$O$287:$O$335)</f>
        <v>0</v>
      </c>
      <c r="K377" s="701">
        <f ca="1">SUMIF($G$9:$G$275,"III",$W$9:$W$274)+SUMIF($D$287:$D$335,"III",$U$287:$U$335)</f>
        <v>0</v>
      </c>
      <c r="L377" s="701">
        <f ca="1">SUMIF($F$9:$F$275,"III",$AC$9:$AC$274)+SUMIF($D$287:$D$335,"III",$AA$287:$AA$335)</f>
        <v>0</v>
      </c>
      <c r="M377" s="701">
        <f ca="1">SUMIF($F$9:$F$275,"III",$AI$9:$AI$274)+SUMIF($D$287:$D$335,"III",$AG$287:$AG$335)</f>
        <v>0</v>
      </c>
      <c r="N377" s="753">
        <f>SUMIF($F$9:$F$275,"III",$AJ$9:$AJ$275)+SUMIF($D292:$D340,"III",$AH$287:$AH$335)</f>
        <v>0</v>
      </c>
      <c r="O377" s="703"/>
      <c r="P377" s="703"/>
      <c r="AH377" s="757"/>
      <c r="AJ377" s="757"/>
    </row>
    <row r="378" spans="6:36" ht="15.75">
      <c r="F378" s="83"/>
      <c r="G378" s="83"/>
      <c r="H378" s="704" t="s">
        <v>702</v>
      </c>
      <c r="I378" s="750">
        <f>COUNTIF($F$9:$F$335,"IV-A")</f>
        <v>0</v>
      </c>
      <c r="J378" s="706">
        <f ca="1">SUMIF($G$9:$G$275,"IV-A",$Q$9:Q280)+SUMIF($E$287:E340,"IV-A",$O$287:$O$335)</f>
        <v>15000</v>
      </c>
      <c r="K378" s="701">
        <f ca="1">SUMIF($G$9:$G$275,"IV-A",$W$9:$W$274)+SUMIF($D$287:$D$335,"IV-A",$U$287:$U$335)</f>
        <v>0</v>
      </c>
      <c r="L378" s="701">
        <f ca="1">SUMIF($F$9:$F$275,"IV-A",$AC$9:$AC$274)+SUMIF($D$287:$D$335,"IV-A",$AA$287:$AA$335)</f>
        <v>0</v>
      </c>
      <c r="M378" s="701">
        <f ca="1">SUMIF($F$9:$F$275,"IV-A",$AI$9:$AI$274)+SUMIF($D$287:$D$335,"IV-A",$AG$287:$AG$335)</f>
        <v>0</v>
      </c>
      <c r="N378" s="753">
        <f>SUMIF($F$9:$F$275,"IV-A",$AJ$9:$AJ$275)+SUMIF($D293:$D341,"IV-A",$AH$287:$AH$335)</f>
        <v>0</v>
      </c>
      <c r="O378" s="703"/>
      <c r="P378" s="703"/>
      <c r="AH378" s="757"/>
      <c r="AJ378" s="757"/>
    </row>
    <row r="379" spans="6:36" ht="15.75">
      <c r="F379" s="83"/>
      <c r="G379" s="83"/>
      <c r="H379" s="704" t="s">
        <v>715</v>
      </c>
      <c r="I379" s="750">
        <f>COUNTIF($F$9:$F$335,"IV-B")</f>
        <v>0</v>
      </c>
      <c r="J379" s="701">
        <f ca="1">SUMIF($G$9:$G$275,"IV-B",$Q$9:Q281)+SUMIF($E$287:E341,"IV-B",$O$287:$O$335)</f>
        <v>0</v>
      </c>
      <c r="K379" s="701">
        <f ca="1">SUMIF($G$9:$G$275,"IV-B",$W$9:$W$274)+SUMIF($D$287:$D$335,"IV-B",$U$287:$U$335)</f>
        <v>0</v>
      </c>
      <c r="L379" s="701">
        <f ca="1">SUMIF($F$9:$F$275,"IV-B",$AC$9:$AC$274)+SUMIF($D$287:$D$335,"IV-B",$AA$287:$AA$335)</f>
        <v>0</v>
      </c>
      <c r="M379" s="701">
        <f ca="1">SUMIF($F$9:$F$275,"IV-B",$AI$9:$AI$274)+SUMIF($D$287:$D$335,"IV-B",$AG$287:$AG$335)</f>
        <v>0</v>
      </c>
      <c r="N379" s="753">
        <f>SUMIF($F$9:$F$275,"IV-B",$AJ$9:$AJ$275)+SUMIF($D294:$D342,"IV-B",$AH$287:$AH$335)</f>
        <v>0</v>
      </c>
      <c r="O379" s="703"/>
      <c r="P379" s="703"/>
      <c r="AH379" s="757"/>
      <c r="AJ379" s="757"/>
    </row>
    <row r="380" spans="6:36" ht="15.75">
      <c r="F380" s="83"/>
      <c r="G380" s="83"/>
      <c r="H380" s="704" t="s">
        <v>665</v>
      </c>
      <c r="I380" s="750">
        <f>COUNTIF($F$9:$F$335,"V")</f>
        <v>0</v>
      </c>
      <c r="J380" s="701">
        <f ca="1">SUMIF($G$9:$G$275,"V",$Q$9:Q282)+SUMIF($E$287:E342,"V",$O$287:$O$335)</f>
        <v>0</v>
      </c>
      <c r="K380" s="701">
        <f ca="1">SUMIF($G$9:$G$275,"V",$W$9:$W$274)+SUMIF($D$287:$D$335,"V",$U$287:$U$335)</f>
        <v>0</v>
      </c>
      <c r="L380" s="701">
        <f ca="1">SUMIF($F$9:$F$275,"V",$AC$9:$AC$274)+SUMIF($D$287:$D$335,"V",$AA$287:$AA$335)</f>
        <v>0</v>
      </c>
      <c r="M380" s="701">
        <f ca="1">SUMIF($F$9:$F$275,"V",$AI$9:$AI$274)+SUMIF($D$287:$D$335,"V",$AG$287:$AG$335)</f>
        <v>0</v>
      </c>
      <c r="N380" s="753">
        <f>SUMIF($F$9:$F$275,"V",$AJ$9:$AJ$275)+SUMIF($D295:$D343,"V",$AH$287:$AH$335)</f>
        <v>0</v>
      </c>
      <c r="O380" s="703"/>
      <c r="P380" s="703"/>
      <c r="AH380" s="757"/>
      <c r="AJ380" s="757"/>
    </row>
    <row r="381" spans="6:36" ht="15.75">
      <c r="F381" s="83"/>
      <c r="G381" s="83"/>
      <c r="H381" s="704" t="s">
        <v>664</v>
      </c>
      <c r="I381" s="750">
        <f>COUNTIF($F$9:$F$335,"VI")</f>
        <v>0</v>
      </c>
      <c r="J381" s="701">
        <f ca="1">SUMIF($G$9:$G$275,"VI",$Q$9:Q283)+SUMIF($E$287:E343,"VI",$O$287:$O$335)</f>
        <v>0</v>
      </c>
      <c r="K381" s="701">
        <f ca="1">SUMIF($G$9:$G$275,"VI",$W$9:$W$274)+SUMIF($D$287:$D$335,"VI",$U$287:$U$335)</f>
        <v>0</v>
      </c>
      <c r="L381" s="701">
        <f ca="1">SUMIF($F$9:$F$275,"VI",$AC$9:$AC$274)+SUMIF($D$287:$D$335,"VI",$AA$287:$AA$335)</f>
        <v>0</v>
      </c>
      <c r="M381" s="701">
        <f ca="1">SUMIF($F$9:$F$275,"VI",$AI$9:$AI$274)+SUMIF($D$287:$D$335,"VI",$AG$287:$AG$335)</f>
        <v>0</v>
      </c>
      <c r="N381" s="753">
        <f>SUMIF($F$9:$F$275,"VI",$AJ$9:$AJ$275)+SUMIF($D296:$D344,"VI",$AH$287:$AH$335)</f>
        <v>0</v>
      </c>
      <c r="O381" s="703"/>
      <c r="P381" s="703"/>
      <c r="AH381" s="757"/>
      <c r="AJ381" s="757"/>
    </row>
    <row r="382" spans="6:36" ht="15.75">
      <c r="F382" s="83"/>
      <c r="G382" s="83"/>
      <c r="H382" s="704" t="s">
        <v>663</v>
      </c>
      <c r="I382" s="750">
        <f>COUNTIF($F$9:$F$335,"I")</f>
        <v>0</v>
      </c>
      <c r="J382" s="701">
        <f ca="1">SUMIF($G$9:$G$275,"VII",$Q$9:Q284)+SUMIF($E$287:E344,"VII",$O$287:$O$335)</f>
        <v>0</v>
      </c>
      <c r="K382" s="701">
        <f ca="1">SUMIF($G$9:$G$275,"VII",$W$9:$W$274)+SUMIF($D$287:$D$335,"VII",$U$287:$U$335)</f>
        <v>0</v>
      </c>
      <c r="L382" s="701">
        <f ca="1">SUMIF($F$9:$F$275,"VII",$AC$9:$AC$274)+SUMIF($D$287:$D$335,"VII",$AA$287:$AA$335)</f>
        <v>0</v>
      </c>
      <c r="M382" s="701">
        <f ca="1">SUMIF($F$9:$F$275,"VII",$AI$9:$AI$274)+SUMIF($D$287:$D$335,"VII",$AG$287:$AG$335)</f>
        <v>0</v>
      </c>
      <c r="N382" s="753">
        <f>SUMIF($F$9:$F$275,"VII",$AJ$9:$AJ$275)+SUMIF($D297:$D345,"VII",$AH$287:$AH$335)</f>
        <v>0</v>
      </c>
      <c r="O382" s="703"/>
      <c r="P382" s="703"/>
      <c r="AH382" s="757"/>
      <c r="AJ382" s="757"/>
    </row>
    <row r="383" spans="6:36" ht="15.75">
      <c r="F383" s="83"/>
      <c r="G383" s="83"/>
      <c r="H383" s="704" t="s">
        <v>662</v>
      </c>
      <c r="I383" s="750">
        <f>COUNTIF($F$9:$F$335,"VIII")</f>
        <v>0</v>
      </c>
      <c r="J383" s="701">
        <f ca="1">SUMIF($G$9:$G$275,"VIII",$Q$9:Q285)+SUMIF($E$287:E345,"VIII",$O$287:$O$335)</f>
        <v>0</v>
      </c>
      <c r="K383" s="701">
        <f ca="1">SUMIF($G$9:$G$275,"VIII",$W$9:$W$274)+SUMIF($D$287:$D$335,"VIII",$U$287:$U$335)</f>
        <v>0</v>
      </c>
      <c r="L383" s="701">
        <f ca="1">SUMIF($F$9:$F$275,"VIII",$AC$9:$AC$274)+SUMIF($D$287:$D$335,"VIII",$AA$287:$AA$335)</f>
        <v>0</v>
      </c>
      <c r="M383" s="701">
        <f ca="1">SUMIF($F$9:$F$275,"VIII",$AI$9:$AI$274)+SUMIF($D$287:$D$335,"VIII",$AG$287:$AG$335)</f>
        <v>0</v>
      </c>
      <c r="N383" s="753">
        <f>SUMIF($F$9:$F$275,"VIII",$AJ$9:$AJ$275)+SUMIF($D298:$D346,"VIII",$AH$287:$AH$335)</f>
        <v>0</v>
      </c>
      <c r="O383" s="703"/>
      <c r="P383" s="703"/>
      <c r="AH383" s="757"/>
      <c r="AJ383" s="757"/>
    </row>
    <row r="384" spans="6:36" ht="15.75">
      <c r="F384" s="83"/>
      <c r="G384" s="83"/>
      <c r="H384" s="704" t="s">
        <v>661</v>
      </c>
      <c r="I384" s="750">
        <f>COUNTIF($F$9:$F$335,"IX")</f>
        <v>0</v>
      </c>
      <c r="J384" s="701">
        <f ca="1">SUMIF($G$9:$G$275,"IX",$Q$9:Q286)+SUMIF($E$287:E346,"IX",$O$287:$O$335)</f>
        <v>0</v>
      </c>
      <c r="K384" s="701">
        <f ca="1">SUMIF($G$9:$G$275,"IX",$W$9:$W$274)+SUMIF($D$287:$D$335,"IX",$U$287:$U$335)</f>
        <v>0</v>
      </c>
      <c r="L384" s="701">
        <f ca="1">SUMIF($F$9:$F$275,"IX",$AC$9:$AC$274)+SUMIF($D$287:$D$335,"IX",$AA$287:$AA$335)</f>
        <v>0</v>
      </c>
      <c r="M384" s="701">
        <f ca="1">SUMIF($F$9:$F$275,"IX",$AI$9:$AI$274)+SUMIF($D$287:$D$335,"IX",$AG$287:$AG$335)</f>
        <v>0</v>
      </c>
      <c r="N384" s="753">
        <f>SUMIF($F$9:$F$275,"IX",$AJ$9:$AJ$275)+SUMIF($D299:$D347,"IX",$AH$287:$AH$335)</f>
        <v>0</v>
      </c>
      <c r="O384" s="703"/>
      <c r="P384" s="703"/>
      <c r="AH384" s="757"/>
      <c r="AJ384" s="757"/>
    </row>
    <row r="385" spans="6:36" ht="15.75">
      <c r="F385" s="83"/>
      <c r="G385" s="83"/>
      <c r="H385" s="704" t="s">
        <v>660</v>
      </c>
      <c r="I385" s="750">
        <f>COUNTIF($F$9:$F$335,"X")</f>
        <v>0</v>
      </c>
      <c r="J385" s="701">
        <f ca="1">SUMIF($G$9:$G$275,"X",$Q$9:Q287)+SUMIF($E$287:E347,"X",$O$287:$O$335)</f>
        <v>0</v>
      </c>
      <c r="K385" s="701">
        <f ca="1">SUMIF($G$9:$G$275,"X",$W$9:$W$274)+SUMIF($D$287:$D$335,"X",$U$287:$U$335)</f>
        <v>0</v>
      </c>
      <c r="L385" s="701">
        <f ca="1">SUMIF($F$9:$F$275,"X",$AC$9:$AC$274)+SUMIF($D$287:$D$335,"X",$AA$287:$AA$335)</f>
        <v>0</v>
      </c>
      <c r="M385" s="701">
        <f ca="1">SUMIF($F$9:$F$275,"X",$AI$9:$AI$274)+SUMIF($D$287:$D$335,"X",$AG$287:$AG$335)</f>
        <v>0</v>
      </c>
      <c r="N385" s="753">
        <f>SUMIF($F$9:$F$275,"X",$AJ$9:$AJ$275)+SUMIF($D300:$D348,"X",$AH$287:$AH$335)</f>
        <v>0</v>
      </c>
      <c r="O385" s="703"/>
      <c r="P385" s="703"/>
      <c r="AH385" s="757"/>
      <c r="AJ385" s="757"/>
    </row>
    <row r="386" spans="6:36" ht="15.75">
      <c r="F386" s="83"/>
      <c r="G386" s="83"/>
      <c r="H386" s="704" t="s">
        <v>659</v>
      </c>
      <c r="I386" s="750">
        <f>COUNTIF($F$9:$F$335,"XI")</f>
        <v>0</v>
      </c>
      <c r="J386" s="701">
        <f ca="1">SUMIF($G$9:$G$275,"XI",$Q$9:Q288)+SUMIF($E$287:E348,"XI",$O$287:$O$335)</f>
        <v>0</v>
      </c>
      <c r="K386" s="701">
        <f ca="1">SUMIF($G$9:$G$275,"XI",$W$9:$W$274)+SUMIF($D$287:$D$335,"XI",$U$287:$U$335)</f>
        <v>0</v>
      </c>
      <c r="L386" s="701">
        <f ca="1">SUMIF($F$9:$F$275,"XI",$AC$9:$AC$274)+SUMIF($D$287:$D$335,"XI",$AA$287:$AA$335)</f>
        <v>0</v>
      </c>
      <c r="M386" s="701">
        <f ca="1">SUMIF($F$9:$F$275,"XI",$AI$9:$AI$274)+SUMIF($D$287:$D$335,"XI",$AG$287:$AG$335)</f>
        <v>0</v>
      </c>
      <c r="N386" s="753">
        <f>SUMIF($F$9:$F$275,"XI",$AJ$9:$AJ$275)+SUMIF($D301:$D349,"XI",$AH$287:$AH$335)</f>
        <v>0</v>
      </c>
      <c r="O386" s="703"/>
      <c r="P386" s="703"/>
      <c r="AH386" s="757"/>
      <c r="AJ386" s="757"/>
    </row>
    <row r="387" spans="6:36" ht="15.75">
      <c r="F387" s="83"/>
      <c r="G387" s="83"/>
      <c r="H387" s="704" t="s">
        <v>658</v>
      </c>
      <c r="I387" s="750">
        <f>COUNTIF($F$9:$F$335,"XII")</f>
        <v>0</v>
      </c>
      <c r="J387" s="701">
        <f ca="1">SUMIF($G$9:$G$275,"XII",$Q$9:Q289)+SUMIF($E$287:E349,"XII",$O$287:$O$335)</f>
        <v>0</v>
      </c>
      <c r="K387" s="701">
        <f ca="1">SUMIF($G$9:$G$275,"XII",$W$9:$W$274)+SUMIF($D$287:$D$335,"XII",$U$287:$U$335)</f>
        <v>0</v>
      </c>
      <c r="L387" s="701">
        <f ca="1">SUMIF($F$9:$F$275,"XII",$AC$9:$AC$274)+SUMIF($D$287:$D$335,"XI",$AA$287:$AA$335)</f>
        <v>0</v>
      </c>
      <c r="M387" s="701">
        <f ca="1">SUMIF($F$9:$F$275,"XII",$AI$9:$AI$274)+SUMIF($D$287:$D$335,"XII",$AG$287:$AG$335)</f>
        <v>0</v>
      </c>
      <c r="N387" s="753">
        <f>SUMIF($F$9:$F$275,"XII",$AJ$9:$AJ$275)+SUMIF($D302:$D350,"XII",$AH$287:$AH$335)</f>
        <v>0</v>
      </c>
      <c r="O387" s="703"/>
      <c r="P387" s="703"/>
      <c r="AJ387" s="757"/>
    </row>
    <row r="388" spans="6:36" ht="15.75">
      <c r="F388" s="83"/>
      <c r="G388" s="83"/>
      <c r="H388" s="704" t="s">
        <v>657</v>
      </c>
      <c r="I388" s="750">
        <f>COUNTIF($F$9:$F$335,"XIII")</f>
        <v>0</v>
      </c>
      <c r="J388" s="701">
        <f ca="1">SUMIF($G$9:$G$275,"XIII",$Q$9:Q290)+SUMIF($E$287:E350,"XIII",$O$287:$O$335)</f>
        <v>0</v>
      </c>
      <c r="K388" s="701">
        <f ca="1">SUMIF($G$9:$G$275,"XIII",$W$9:$W$274)+SUMIF($D$287:$D$335,"XIII",$U$287:$U$335)</f>
        <v>0</v>
      </c>
      <c r="L388" s="701">
        <f ca="1">SUMIF($F$9:$F$275,"XIII",$AC$9:$AC$274)+SUMIF($D$287:$D$335,"XIII",$AA$287:$AA$335)</f>
        <v>0</v>
      </c>
      <c r="M388" s="701">
        <f ca="1">SUMIF($F$9:$F$275,"XIII",$AI$9:$AI$274)+SUMIF($D$287:$D$335,"XIII",$AG$287:$AG$335)</f>
        <v>0</v>
      </c>
      <c r="N388" s="753">
        <f>SUMIF($F$9:$F$275,"XIII",$AJ$9:$AJ$275)+SUMIF($D303:$D351,"XIII",$AH$287:$AH$335)</f>
        <v>0</v>
      </c>
      <c r="O388" s="703"/>
      <c r="P388" s="703"/>
      <c r="AJ388" s="757"/>
    </row>
    <row r="389" spans="6:36" ht="15.75">
      <c r="F389" s="83"/>
      <c r="G389" s="83"/>
      <c r="H389" s="246" t="s">
        <v>656</v>
      </c>
      <c r="I389" s="750">
        <f>COUNTIF($F$9:$F$335,"ARMM")</f>
        <v>0</v>
      </c>
      <c r="J389" s="701">
        <f ca="1">SUMIF($G$9:$G$275,"ARMM",$Q$9:Q291)+SUMIF($E$287:E351,"ARMM",$O$287:$O$335)</f>
        <v>0</v>
      </c>
      <c r="K389" s="701">
        <f ca="1">SUMIF($G$9:$G$275,"ARMM",$W$9:$W$274)+SUMIF($D$287:$D$335,"ARMM",$U$287:$U$335)</f>
        <v>0</v>
      </c>
      <c r="L389" s="701">
        <f ca="1">SUMIF($F$9:$F$275,"ARMM",$AC$9:$AC$274)+SUMIF($D$287:$D$335,"ARMM",$AA$287:$AA$335)</f>
        <v>0</v>
      </c>
      <c r="M389" s="701">
        <f ca="1">SUMIF($F$9:$F$275,"ARMM",$AI$9:$AI$274)+SUMIF($D$287:$D$335,"ARMM",$AG$287:$AG$335)</f>
        <v>0</v>
      </c>
      <c r="N389" s="753">
        <f>SUMIF($F$9:$F$275,"ARMM",$AJ$9:$AJ$275)+SUMIF($D304:$D352,"ARMM",$AH$287:$AH$335)</f>
        <v>0</v>
      </c>
      <c r="O389" s="703"/>
      <c r="P389" s="703"/>
      <c r="AJ389" s="757"/>
    </row>
    <row r="390" spans="6:36" ht="15.75">
      <c r="F390" s="83"/>
      <c r="G390" s="83"/>
      <c r="H390" s="246" t="s">
        <v>671</v>
      </c>
      <c r="I390" s="750">
        <f>COUNTIF($F$9:$F$335,"CAR")</f>
        <v>0</v>
      </c>
      <c r="J390" s="701">
        <f ca="1">SUMIF($G$9:$G$275,"CAR",$Q$9:Q292)+SUMIF($E$287:E352,"CAR",$O$287:$O$335)</f>
        <v>0</v>
      </c>
      <c r="K390" s="701">
        <f ca="1">SUMIF($F$9:$F$275,"CAR",$W$9:$W$274)+SUMIF($D$287:$D$335,"CAR",$U$287:$U$335)</f>
        <v>0</v>
      </c>
      <c r="L390" s="701">
        <f ca="1">SUMIF($F$9:$F$275,"CAR",$AC$9:$AC$274)+SUMIF($D$287:$D$335,"CAR",$AA$287:$AA$335)</f>
        <v>0</v>
      </c>
      <c r="M390" s="701">
        <f ca="1">SUMIF($F$9:$F$275,"CAR",$AI$9:$AI$274)+SUMIF($D$287:$D$335,"CAR",$AG$287:$AG$335)</f>
        <v>0</v>
      </c>
      <c r="N390" s="753">
        <f>SUMIF($F$9:$F$275,"CAR",$AJ$9:$AJ$275)+SUMIF($D305:$D353,"CAR",$AH$287:$AH$335)</f>
        <v>0</v>
      </c>
      <c r="O390" s="703"/>
      <c r="P390" s="703"/>
      <c r="AJ390" s="757"/>
    </row>
    <row r="391" spans="6:36" ht="15.75">
      <c r="F391" s="83"/>
      <c r="G391" s="83"/>
      <c r="H391" s="246" t="s">
        <v>655</v>
      </c>
      <c r="I391" s="750">
        <f>COUNTIF($F$9:$F$335,"NCR")</f>
        <v>0</v>
      </c>
      <c r="J391" s="706">
        <f ca="1">SUMIF($G$9:$G$275,"NCR",$Q$9:Q293)+SUMIF($E$287:E353,"NCR",$O$287:$O$335)</f>
        <v>19900</v>
      </c>
      <c r="K391" s="701">
        <f ca="1">SUMIF($G$9:$G$275,"NCR",$W$9:$W$274)+SUMIF($D$287:$D$335,"NCR",$U$287:$U$335)</f>
        <v>56010</v>
      </c>
      <c r="L391" s="701">
        <f ca="1">SUMIF($F$9:$F$275,"NCR",$AC$9:$AC$274)+SUMIF($D$287:$D$335,"NCR",$AA$287:$AA$335)</f>
        <v>0</v>
      </c>
      <c r="M391" s="701">
        <f ca="1">SUMIF($F$9:$F$275,"NCR",$AI$9:$AI$274)+SUMIF($D$287:$D$335,"NCR",$AG$287:$AG$335)</f>
        <v>0</v>
      </c>
      <c r="N391" s="753">
        <f>SUMIF($F$9:$F$275,"NCR",$AJ$9:$AJ$275)+SUMIF($D306:$D354,"NCR",$AH$287:$AH$335)</f>
        <v>0</v>
      </c>
      <c r="O391" s="703"/>
      <c r="P391" s="703"/>
      <c r="AJ391" s="757"/>
    </row>
    <row r="392" spans="6:36" ht="15.75">
      <c r="F392" s="83"/>
      <c r="G392" s="83"/>
      <c r="H392" s="246" t="s">
        <v>722</v>
      </c>
      <c r="I392" s="749">
        <f>COUNTIF($F$9:$F$275,"Others")+COUNTIF($D$287:$D$335,"Others")</f>
        <v>21</v>
      </c>
      <c r="J392" s="706">
        <f ca="1">SUMIF($F$9:$F$275,"Others",$Q$9:Q294)+SUMIF($D$287:D354,"Others",$O$287:$O$335)</f>
        <v>5432914</v>
      </c>
      <c r="K392" s="701">
        <f ca="1">SUMIF($F$9:$F$275,"Others",$W$9:$W$274)+SUMIF($D$287:$D$335,"Others",$U$287:$U$335)</f>
        <v>5410362</v>
      </c>
      <c r="L392" s="701">
        <f ca="1">SUMIF($F$9:$F$275,"Others",$AC$9:$AC$274)+SUMIF($D$287:$D$335,"Others",$AA$287:$AA$335)</f>
        <v>2502936</v>
      </c>
      <c r="M392" s="701">
        <f ca="1">SUMIF($F$9:$F$275,"Others",$AI$9:$AI$274)+SUMIF($D$287:$D$335,"Others",$AG$287:$AG$335)</f>
        <v>1627598</v>
      </c>
      <c r="N392" s="753">
        <f>SUMIF($F$9:$F$275,"Others",$AJ$9:$AJ$275)+SUMIF($D307:$D355,"Others",$AH$287:$AH$335)</f>
        <v>14973810</v>
      </c>
      <c r="O392" s="705">
        <f>SUMIF(O331:O358,"Others",U331:U358)</f>
        <v>0</v>
      </c>
      <c r="P392" s="705">
        <f>SUMIF(P331:P358,"Others",V331:V358)</f>
        <v>0</v>
      </c>
      <c r="AJ392" s="757"/>
    </row>
    <row r="393" spans="6:36" ht="15.75">
      <c r="F393" s="83"/>
      <c r="G393" s="83"/>
      <c r="H393" s="246" t="s">
        <v>716</v>
      </c>
      <c r="I393" s="749">
        <f>COUNTIF($F$9:$F$275,"Others2")+COUNTIF($D$287:$D$335,"Others2")</f>
        <v>19</v>
      </c>
      <c r="J393" s="706">
        <f ca="1">SUMIF($F$9:$F$275,"Others2",$Q$9:Q295)+SUMIF($D$287:D355,"Others2",$O$287:$O$335)</f>
        <v>197469.68599999999</v>
      </c>
      <c r="K393" s="701">
        <f ca="1">SUMIF($F$9:$F$275,"Others2",$W$9:$W$274)+SUMIF($D$287:$D$335,"Others2",$U$287:$U$335)</f>
        <v>218969.68599999999</v>
      </c>
      <c r="L393" s="701">
        <f ca="1">SUMIF($F$9:$F$275,"Others2",$AC$9:$AC$274)+SUMIF($D$287:$D$335,"Others2",$AA$287:$AA$335)</f>
        <v>235469.68599999999</v>
      </c>
      <c r="M393" s="701">
        <f ca="1">SUMIF($F$9:$F$275,"Others2",$AI$9:$AI$274)+SUMIF($D$287:$D$335,"Others2",$AG$287:$AG$335)</f>
        <v>260969.68599999999</v>
      </c>
      <c r="N393" s="753">
        <f>SUMIF($F$9:$F$275,"Others2",$AJ$9:$AJ$275)+SUMIF($D308:$D356,"Others2",$AH$287:$AH$335)</f>
        <v>912878.74399999995</v>
      </c>
      <c r="O393" s="705"/>
      <c r="P393" s="705"/>
      <c r="AJ393" s="757"/>
    </row>
    <row r="394" spans="6:36" ht="15.75">
      <c r="F394" s="83"/>
      <c r="G394" s="83"/>
      <c r="H394" s="309" t="s">
        <v>18</v>
      </c>
      <c r="I394" s="751">
        <f t="shared" ref="I394:P394" si="35">+I372+I373+I374+I392+I393</f>
        <v>94</v>
      </c>
      <c r="J394" s="835">
        <f t="shared" ca="1" si="35"/>
        <v>7097284.80048439</v>
      </c>
      <c r="K394" s="835">
        <f t="shared" ca="1" si="35"/>
        <v>7824691.4194531692</v>
      </c>
      <c r="L394" s="835">
        <f t="shared" ca="1" si="35"/>
        <v>5882693.1362199998</v>
      </c>
      <c r="M394" s="835">
        <f t="shared" ca="1" si="35"/>
        <v>5272527.6332999999</v>
      </c>
      <c r="N394" s="835">
        <f t="shared" si="35"/>
        <v>26077196.989457559</v>
      </c>
      <c r="O394" s="835">
        <f t="shared" si="35"/>
        <v>0</v>
      </c>
      <c r="P394" s="835">
        <f t="shared" si="35"/>
        <v>0</v>
      </c>
      <c r="AJ394" s="757"/>
    </row>
    <row r="395" spans="6:36" ht="15.75">
      <c r="F395" s="83"/>
      <c r="G395" s="83"/>
      <c r="H395" s="83"/>
      <c r="I395" s="83"/>
      <c r="J395" s="83"/>
      <c r="K395" s="83"/>
      <c r="L395" s="83"/>
      <c r="M395" s="83"/>
      <c r="N395" s="83"/>
      <c r="O395" s="83"/>
      <c r="P395" s="83"/>
      <c r="AJ395" s="757"/>
    </row>
    <row r="396" spans="6:36" ht="15.75">
      <c r="F396" s="83" t="s">
        <v>717</v>
      </c>
      <c r="G396" s="83"/>
      <c r="H396" s="83"/>
      <c r="I396" s="698" t="s">
        <v>712</v>
      </c>
      <c r="J396" s="83"/>
      <c r="K396" s="83"/>
      <c r="L396" s="83"/>
      <c r="M396" s="83"/>
      <c r="N396" s="83"/>
      <c r="O396" s="83"/>
      <c r="P396" s="83"/>
      <c r="AJ396" s="757"/>
    </row>
    <row r="397" spans="6:36" ht="15.75">
      <c r="F397" s="83"/>
      <c r="G397" s="83"/>
      <c r="H397" s="699"/>
      <c r="I397" s="698"/>
      <c r="J397" s="697">
        <v>2013</v>
      </c>
      <c r="K397" s="697">
        <v>2014</v>
      </c>
      <c r="L397" s="697">
        <v>2015</v>
      </c>
      <c r="M397" s="697">
        <v>2016</v>
      </c>
      <c r="N397" s="697" t="s">
        <v>81</v>
      </c>
      <c r="O397" s="697" t="s">
        <v>709</v>
      </c>
      <c r="P397" s="697" t="s">
        <v>710</v>
      </c>
      <c r="AJ397" s="757"/>
    </row>
    <row r="398" spans="6:36" ht="15.75">
      <c r="F398" s="83">
        <v>1000</v>
      </c>
      <c r="G398" s="83"/>
      <c r="H398" s="700" t="s">
        <v>80</v>
      </c>
      <c r="I398" s="749">
        <f>COUNTIF(F35:F301,"Nationwide")+COUNTIF(D313:D361,"Nationwide")</f>
        <v>42</v>
      </c>
      <c r="J398" s="701">
        <f>(SUMIF($F$9:$F$275,"Nationwide",$Q$9:Q300)+SUMIF($D$287:$D$335,"Nationwide",$O$287:$O$335))/1000</f>
        <v>1420.6858</v>
      </c>
      <c r="K398" s="701">
        <f ca="1">(SUMIF($F$9:$F$275,"Nationwide",$W$9:$W$274)+SUMIF($D$287:$D$335,"Nationwide",$U$287:$U$335))/1000</f>
        <v>2094.96045</v>
      </c>
      <c r="L398" s="701">
        <f ca="1">(SUMIF($F$9:$F$275,"Nationwide",$AC$9:$AC$274)+SUMIF($D$287:$D$335,"Nationwide",$AA$287:$AA$335))/1000</f>
        <v>2244.9395199999999</v>
      </c>
      <c r="M398" s="701">
        <f ca="1">(SUMIF($F$9:$F$275,"Nationwide",$AI$9:$AI$274)+SUMIF($D$287:$D$335,"Nationwide",$AG$287:$AG$335))/1000</f>
        <v>2286.0910199999998</v>
      </c>
      <c r="N398" s="753">
        <f>(SUMIF($F$9:$F$275,"Nationwide",$AJ$9:$AJ$275)+SUMIF($D313:$D361,"Nationwide",$AH$287:$AH$335))/1000</f>
        <v>6504.5113900000006</v>
      </c>
      <c r="O398" s="702">
        <v>0</v>
      </c>
      <c r="P398" s="702">
        <v>0</v>
      </c>
      <c r="AJ398" s="757"/>
    </row>
    <row r="399" spans="6:36" ht="15.75">
      <c r="F399" s="83"/>
      <c r="G399" s="83"/>
      <c r="H399" s="700" t="s">
        <v>372</v>
      </c>
      <c r="I399" s="749">
        <f>COUNTIF($F$9:$F$275,"Interregional")+COUNTIF($D$287:$D$335,"Interregional")</f>
        <v>6</v>
      </c>
      <c r="J399" s="701">
        <f ca="1">(SUMIF($F$9:$F$275,"Interregional",$Q$9:Q301)+SUMIF($D$287:D361,"Interregional",$O$287:$O$335))/1000</f>
        <v>11.315314484389781</v>
      </c>
      <c r="K399" s="701">
        <f ca="1">(SUMIF($F$9:$F$275,"Interregional",$W$9:$W$274)+SUMIF($D$287:$D$335,"Interregional",$U$287:$U$335))/1000</f>
        <v>44.389283453169334</v>
      </c>
      <c r="L399" s="701">
        <f ca="1">(SUMIF($F$9:$F$275,"Interregional",$AC$9:$AC$274)+SUMIF($D$287:$D$335,"Interregional",$AA$287:$AA$335))/1000</f>
        <v>370.96730669999999</v>
      </c>
      <c r="M399" s="701">
        <f ca="1">(SUMIF($F$9:$F$275,"Interregional",$AI$9:$AI$274)+SUMIF($D$287:$D$335,"Interregional",$AG$287:$AG$335))/1000</f>
        <v>173.56851329999998</v>
      </c>
      <c r="N399" s="753">
        <f>(SUMIF($F$9:$F$275,"Interregional",$AJ$9:$AJ$275)+SUMIF($D313:$D361,"Interregional",$AH$287:$AH$335))/1000</f>
        <v>560.27955000000009</v>
      </c>
      <c r="O399" s="703">
        <v>0</v>
      </c>
      <c r="P399" s="703">
        <v>0</v>
      </c>
      <c r="AJ399" s="757"/>
    </row>
    <row r="400" spans="6:36" ht="15.75">
      <c r="F400" s="83"/>
      <c r="G400" s="83"/>
      <c r="H400" s="700" t="s">
        <v>711</v>
      </c>
      <c r="I400" s="749">
        <f>COUNTIF($F$9:$F$275,"Region-Specific")+COUNTIF($D$287:$D$335,"Region-Specific")</f>
        <v>5</v>
      </c>
      <c r="J400" s="701">
        <f ca="1">(SUMIF($F$9:$F$275,"Region-Specific",$Q$9:Q301)+SUMIF($D$287:D361,"Region-Specific",$O$287:$O$335))/1000</f>
        <v>34.9</v>
      </c>
      <c r="K400" s="701">
        <f ca="1">(SUMIF($F$9:$F$275,"Region-Specific",$W$9:$W$274)+SUMIF($D$287:$D$335,"Region-Specific",$U$287:$U$335))/1000</f>
        <v>56.01</v>
      </c>
      <c r="L400" s="701">
        <f ca="1">(SUMIF($F$9:$F$275,"Region-specific",$AC$9:$AC$274)+SUMIF($D$287:$D$335,"Region-specific",$AA$287:$AA$335))/1000</f>
        <v>528.38062351999997</v>
      </c>
      <c r="M400" s="701">
        <f ca="1">(SUMIF($F$9:$F$275,"Region-Specific",$AI$9:$AI$274)+SUMIF($D$287:$D$335,"Region-Specific",$AG$287:$AG$335))/1000</f>
        <v>924.30041400000005</v>
      </c>
      <c r="N400" s="753">
        <f>(SUMIF($F$9:$F$275,"Region-specific",$AJ$9:$AJ$275)+SUMIF($D315:$D363,"Region-specific",$AH$287:$AH$335))/1000</f>
        <v>1543.5910375200001</v>
      </c>
      <c r="O400" s="703">
        <v>0</v>
      </c>
      <c r="P400" s="703">
        <v>0</v>
      </c>
      <c r="AJ400" s="757"/>
    </row>
    <row r="401" spans="6:36" ht="15.75">
      <c r="F401" s="83"/>
      <c r="G401" s="83"/>
      <c r="H401" s="704" t="s">
        <v>670</v>
      </c>
      <c r="I401" s="750">
        <f>COUNTIF($F$9:$F$335,"I")</f>
        <v>0</v>
      </c>
      <c r="J401" s="701">
        <f ca="1">(SUMIF($G$9:$G$275,"I",$Q$9:Q301)+SUMIF($E$287:E363,"I",$O$287:$O$335))/1000</f>
        <v>0</v>
      </c>
      <c r="K401" s="701">
        <f ca="1">(SUMIF($G$9:$G$275,"I",$W$9:$W$274)+SUMIF($D$287:$D$335,"I",$U$287:$U$335))/1000</f>
        <v>0</v>
      </c>
      <c r="L401" s="701">
        <f ca="1">(SUMIF($F$9:$F$275,"I",$AC$9:$AC$274)+SUMIF($D$287:$D$335,"I",$AA$287:$AA$335))/1000</f>
        <v>0</v>
      </c>
      <c r="M401" s="701">
        <f ca="1">(SUMIF($F$9:$F$275,"I",$AI$9:$AI$274)+SUMIF($D$287:$D$335,"I",$AG$287:$AG$335))/1000</f>
        <v>0</v>
      </c>
      <c r="N401" s="753">
        <f>(SUMIF($F$9:$F$275,"I",$AJ$9:$AJ$275)+SUMIF($D316:$D364,"I",$AH$287:$AH$335))/1000</f>
        <v>0</v>
      </c>
      <c r="O401" s="703">
        <v>0</v>
      </c>
      <c r="P401" s="703">
        <v>0</v>
      </c>
      <c r="AJ401" s="757"/>
    </row>
    <row r="402" spans="6:36" ht="15.75">
      <c r="F402" s="83"/>
      <c r="G402" s="83"/>
      <c r="H402" s="704" t="s">
        <v>669</v>
      </c>
      <c r="I402" s="750">
        <f>COUNTIF($F$9:$F$335,"II")</f>
        <v>0</v>
      </c>
      <c r="J402" s="701">
        <f ca="1">(SUMIF($G$9:$G$275,"iI",$Q$9:Q304)+SUMIF($E$287:E364,"iI",$O$287:$O$335))/1000</f>
        <v>0</v>
      </c>
      <c r="K402" s="701">
        <f ca="1">(SUMIF($G$9:$G$275,"II",$W$9:$W$274)+SUMIF($D$287:$D$335,"II",$U$287:$U$335))/1000</f>
        <v>0</v>
      </c>
      <c r="L402" s="701">
        <f ca="1">(SUMIF($F$9:$F$275,"II",$AC$9:$AC$274)+SUMIF($D$287:$D$335,"II",$AA$287:$AA$335))/1000</f>
        <v>0</v>
      </c>
      <c r="M402" s="701">
        <f ca="1">(SUMIF($F$9:$F$275,"II",$AI$9:$AI$274)+SUMIF($D$287:$D$335,"II",$AG$287:$AG$335))/1000</f>
        <v>0</v>
      </c>
      <c r="N402" s="753">
        <f>(SUMIF($F$9:$F$275,"II",$AJ$9:$AJ$275)+SUMIF($D317:$D365,"II",$AH$287:$AH$335))/1000</f>
        <v>0</v>
      </c>
      <c r="O402" s="703">
        <v>0</v>
      </c>
      <c r="P402" s="703">
        <v>0</v>
      </c>
      <c r="AJ402" s="757"/>
    </row>
    <row r="403" spans="6:36" ht="15.75">
      <c r="F403" s="83"/>
      <c r="G403" s="83"/>
      <c r="H403" s="704" t="s">
        <v>668</v>
      </c>
      <c r="I403" s="750">
        <f>COUNTIF($F$9:$F$335,"III")</f>
        <v>0</v>
      </c>
      <c r="J403" s="701">
        <f ca="1">(SUMIF($G$9:$G$275,"III",$Q$9:Q305)+SUMIF($E$287:E365,"III",$O$287:$O$335))/1000</f>
        <v>0</v>
      </c>
      <c r="K403" s="701">
        <f ca="1">(SUMIF($G$9:$G$275,"III",$W$9:$W$274)+SUMIF($D$287:$D$335,"III",$U$287:$U$335))/1000</f>
        <v>0</v>
      </c>
      <c r="L403" s="701">
        <f ca="1">(SUMIF($F$9:$F$275,"III",$AC$9:$AC$274)+SUMIF($D$287:$D$335,"III",$AA$287:$AA$335))/1000</f>
        <v>0</v>
      </c>
      <c r="M403" s="701">
        <f ca="1">(SUMIF($F$9:$F$275,"III",$AI$9:$AI$274)+SUMIF($D$287:$D$335,"III",$AG$287:$AG$335))/1000</f>
        <v>0</v>
      </c>
      <c r="N403" s="753">
        <f>(SUMIF($F$9:$F$275,"III",$AJ$9:$AJ$275)+SUMIF($D318:$D366,"III",$AH$287:$AH$335))/1000</f>
        <v>0</v>
      </c>
      <c r="O403" s="703">
        <v>0</v>
      </c>
      <c r="P403" s="703">
        <v>0</v>
      </c>
      <c r="AJ403" s="757"/>
    </row>
    <row r="404" spans="6:36" ht="15.75">
      <c r="F404" s="83"/>
      <c r="G404" s="83"/>
      <c r="H404" s="704" t="s">
        <v>702</v>
      </c>
      <c r="I404" s="750">
        <f>COUNTIF($F$9:$F$335,"IV-A")</f>
        <v>0</v>
      </c>
      <c r="J404" s="706">
        <f ca="1">(SUMIF($G$9:$G$275,"IV-A",$Q$9:Q306)+SUMIF($E$287:E366,"IV-A",$O$287:$O$335))/1000</f>
        <v>15</v>
      </c>
      <c r="K404" s="701">
        <f ca="1">(SUMIF($G$9:$G$275,"IV-A",$W$9:$W$274)+SUMIF($D$287:$D$335,"IV-A",$U$287:$U$335))/1000</f>
        <v>0</v>
      </c>
      <c r="L404" s="701">
        <f ca="1">(SUMIF($F$9:$F$275,"IV-A",$AC$9:$AC$274)+SUMIF($D$287:$D$335,"IV-A",$AA$287:$AA$335))/1000</f>
        <v>0</v>
      </c>
      <c r="M404" s="701">
        <f ca="1">(SUMIF($F$9:$F$275,"IV-A",$AI$9:$AI$274)+SUMIF($D$287:$D$335,"IV-A",$AG$287:$AG$335))/1000</f>
        <v>0</v>
      </c>
      <c r="N404" s="753">
        <f>(SUMIF($F$9:$F$275,"IV-A",$AJ$9:$AJ$275)+SUMIF($D319:$D367,"IV-A",$AH$287:$AH$335))/1000</f>
        <v>0</v>
      </c>
      <c r="O404" s="703">
        <v>0</v>
      </c>
      <c r="P404" s="703">
        <v>0</v>
      </c>
      <c r="AJ404" s="757"/>
    </row>
    <row r="405" spans="6:36" ht="15.75">
      <c r="F405" s="83"/>
      <c r="G405" s="83"/>
      <c r="H405" s="704" t="s">
        <v>715</v>
      </c>
      <c r="I405" s="750">
        <f>COUNTIF($F$9:$F$335,"IV-B")</f>
        <v>0</v>
      </c>
      <c r="J405" s="701">
        <f ca="1">(SUMIF($G$9:$G$275,"IV-B",$Q$9:Q307)+SUMIF($E$287:E367,"IV-B",$O$287:$O$335))/1000</f>
        <v>0</v>
      </c>
      <c r="K405" s="701">
        <f ca="1">(SUMIF($G$9:$G$275,"IV-B",$W$9:$W$274)+SUMIF($D$287:$D$335,"IV-B",$U$287:$U$335))/1000</f>
        <v>0</v>
      </c>
      <c r="L405" s="701">
        <f ca="1">(SUMIF($F$9:$F$275,"IV-B",$AC$9:$AC$274)+SUMIF($D$287:$D$335,"IV-B",$AA$287:$AA$335))/1000</f>
        <v>0</v>
      </c>
      <c r="M405" s="701">
        <f ca="1">(SUMIF($F$9:$F$275,"IV-B",$AI$9:$AI$274)+SUMIF($D$287:$D$335,"IV-B",$AG$287:$AG$335))/1000</f>
        <v>0</v>
      </c>
      <c r="N405" s="753">
        <f>(SUMIF($F$9:$F$275,"IV-B",$AJ$9:$AJ$275)+SUMIF($D320:$D368,"IV-B",$AH$287:$AH$335))/1000</f>
        <v>0</v>
      </c>
      <c r="O405" s="703">
        <v>0</v>
      </c>
      <c r="P405" s="703">
        <v>0</v>
      </c>
      <c r="AJ405" s="757"/>
    </row>
    <row r="406" spans="6:36" ht="15.75">
      <c r="F406" s="83"/>
      <c r="G406" s="83"/>
      <c r="H406" s="704" t="s">
        <v>665</v>
      </c>
      <c r="I406" s="750">
        <f>COUNTIF($F$9:$F$335,"V")</f>
        <v>0</v>
      </c>
      <c r="J406" s="701">
        <f ca="1">(SUMIF($G$9:$G$275,"V",$Q$9:Q308)+SUMIF($E$287:E368,"V",$O$287:$O$335))/1000</f>
        <v>0</v>
      </c>
      <c r="K406" s="701">
        <f ca="1">(SUMIF($G$9:$G$275,"V",$W$9:$W$274)+SUMIF($D$287:$D$335,"V",$U$287:$U$335))/1000</f>
        <v>0</v>
      </c>
      <c r="L406" s="701">
        <f ca="1">(SUMIF($F$9:$F$275,"V",$AC$9:$AC$274)+SUMIF($D$287:$D$335,"V",$AA$287:$AA$335))/1000</f>
        <v>0</v>
      </c>
      <c r="M406" s="701">
        <f ca="1">(SUMIF($F$9:$F$275,"V",$AI$9:$AI$274)+SUMIF($D$287:$D$335,"V",$AG$287:$AG$335))/1000</f>
        <v>0</v>
      </c>
      <c r="N406" s="753">
        <f>(SUMIF($F$9:$F$275,"V",$AJ$9:$AJ$275)+SUMIF($D321:$D369,"V",$AH$287:$AH$335))/1000</f>
        <v>0</v>
      </c>
      <c r="O406" s="703">
        <v>0</v>
      </c>
      <c r="P406" s="703">
        <v>0</v>
      </c>
      <c r="AJ406" s="757"/>
    </row>
    <row r="407" spans="6:36" ht="15.75">
      <c r="F407" s="83"/>
      <c r="G407" s="83"/>
      <c r="H407" s="704" t="s">
        <v>664</v>
      </c>
      <c r="I407" s="750">
        <f>COUNTIF($F$9:$F$335,"VI")</f>
        <v>0</v>
      </c>
      <c r="J407" s="701">
        <f ca="1">(SUMIF($G$9:$G$275,"VI",$Q$9:Q309)+SUMIF($E$287:E369,"VI",$O$287:$O$335))/1000</f>
        <v>0</v>
      </c>
      <c r="K407" s="701">
        <f ca="1">(SUMIF($G$9:$G$275,"VI",$W$9:$W$274)+SUMIF($D$287:$D$335,"VI",$U$287:$U$335))/1000</f>
        <v>0</v>
      </c>
      <c r="L407" s="701">
        <f ca="1">(SUMIF($F$9:$F$275,"VI",$AC$9:$AC$274)+SUMIF($D$287:$D$335,"VI",$AA$287:$AA$335))/1000</f>
        <v>0</v>
      </c>
      <c r="M407" s="701">
        <f ca="1">(SUMIF($F$9:$F$275,"VI",$AI$9:$AI$274)+SUMIF($D$287:$D$335,"VI",$AG$287:$AG$335))/1000</f>
        <v>0</v>
      </c>
      <c r="N407" s="753">
        <f>(SUMIF($F$9:$F$275,"VI",$AJ$9:$AJ$275)+SUMIF($D322:$D370,"VI",$AH$287:$AH$335))/1000</f>
        <v>0</v>
      </c>
      <c r="O407" s="703">
        <v>0</v>
      </c>
      <c r="P407" s="703">
        <v>0</v>
      </c>
      <c r="AJ407" s="757"/>
    </row>
    <row r="408" spans="6:36" ht="15.75">
      <c r="F408" s="83"/>
      <c r="G408" s="83"/>
      <c r="H408" s="704" t="s">
        <v>663</v>
      </c>
      <c r="I408" s="750">
        <f>COUNTIF($F$9:$F$335,"I")</f>
        <v>0</v>
      </c>
      <c r="J408" s="701">
        <f ca="1">(SUMIF($G$9:$G$275,"VII",$Q$9:Q310)+SUMIF($E$287:E370,"VII",$O$287:$O$335))/1000</f>
        <v>0</v>
      </c>
      <c r="K408" s="701">
        <f ca="1">(SUMIF($G$9:$G$275,"VII",$W$9:$W$274)+SUMIF($D$287:$D$335,"VII",$U$287:$U$335))/1000</f>
        <v>0</v>
      </c>
      <c r="L408" s="701">
        <f ca="1">(SUMIF($F$9:$F$275,"VII",$AC$9:$AC$274)+SUMIF($D$287:$D$335,"VII",$AA$287:$AA$335))/1000</f>
        <v>0</v>
      </c>
      <c r="M408" s="701">
        <f ca="1">(SUMIF($F$9:$F$275,"VII",$AI$9:$AI$274)+SUMIF($D$287:$D$335,"VII",$AG$287:$AG$335))/1000</f>
        <v>0</v>
      </c>
      <c r="N408" s="753">
        <f>(SUMIF($F$9:$F$275,"VII",$AJ$9:$AJ$275)+SUMIF($D323:$D371,"VII",$AH$287:$AH$335))/1000</f>
        <v>0</v>
      </c>
      <c r="O408" s="703">
        <v>0</v>
      </c>
      <c r="P408" s="703">
        <v>0</v>
      </c>
      <c r="AJ408" s="757"/>
    </row>
    <row r="409" spans="6:36" ht="15.75">
      <c r="F409" s="83"/>
      <c r="G409" s="83"/>
      <c r="H409" s="704" t="s">
        <v>662</v>
      </c>
      <c r="I409" s="750">
        <f>COUNTIF($F$9:$F$335,"VIII")</f>
        <v>0</v>
      </c>
      <c r="J409" s="701">
        <f ca="1">(SUMIF($G$9:$G$275,"VIII",$Q$9:Q311)+SUMIF($E$287:E371,"VIII",$O$287:$O$335))/1000</f>
        <v>0</v>
      </c>
      <c r="K409" s="701">
        <f ca="1">(SUMIF($G$9:$G$275,"VIII",$W$9:$W$274)+SUMIF($D$287:$D$335,"VIII",$U$287:$U$335))/1000</f>
        <v>0</v>
      </c>
      <c r="L409" s="701">
        <f ca="1">(SUMIF($F$9:$F$275,"VIII",$AC$9:$AC$274)+SUMIF($D$287:$D$335,"VIII",$AA$287:$AA$335))/1000</f>
        <v>0</v>
      </c>
      <c r="M409" s="701">
        <f ca="1">(SUMIF($F$9:$F$275,"VIII",$AI$9:$AI$274)+SUMIF($D$287:$D$335,"VIII",$AG$287:$AG$335))/1000</f>
        <v>0</v>
      </c>
      <c r="N409" s="753">
        <f>(SUMIF($F$9:$F$275,"VIII",$AJ$9:$AJ$275)+SUMIF($D324:$D372,"VIII",$AH$287:$AH$335))/1000</f>
        <v>0</v>
      </c>
      <c r="O409" s="703">
        <v>0</v>
      </c>
      <c r="P409" s="703">
        <v>0</v>
      </c>
      <c r="AJ409" s="757"/>
    </row>
    <row r="410" spans="6:36" ht="15.75">
      <c r="F410" s="83"/>
      <c r="G410" s="83"/>
      <c r="H410" s="704" t="s">
        <v>661</v>
      </c>
      <c r="I410" s="750">
        <f>COUNTIF($F$9:$F$335,"IX")</f>
        <v>0</v>
      </c>
      <c r="J410" s="701">
        <f ca="1">(SUMIF($G$9:$G$275,"IX",$Q$9:Q312)+SUMIF($E$287:E372,"IX",$O$287:$O$335))/1000</f>
        <v>0</v>
      </c>
      <c r="K410" s="701">
        <f ca="1">(SUMIF($G$9:$G$275,"IX",$W$9:$W$274)+SUMIF($D$287:$D$335,"IX",$U$287:$U$335))/1000</f>
        <v>0</v>
      </c>
      <c r="L410" s="701">
        <f ca="1">(SUMIF($F$9:$F$275,"IX",$AC$9:$AC$274)+SUMIF($D$287:$D$335,"IX",$AA$287:$AA$335))/1000</f>
        <v>0</v>
      </c>
      <c r="M410" s="701">
        <f ca="1">(SUMIF($F$9:$F$275,"IX",$AI$9:$AI$274)+SUMIF($D$287:$D$335,"IX",$AG$287:$AG$335))/1000</f>
        <v>0</v>
      </c>
      <c r="N410" s="753">
        <f>(SUMIF($F$9:$F$275,"IX",$AJ$9:$AJ$275)+SUMIF($D325:$D373,"IX",$AH$287:$AH$335))/1000</f>
        <v>0</v>
      </c>
      <c r="O410" s="703">
        <v>0</v>
      </c>
      <c r="P410" s="703">
        <v>0</v>
      </c>
      <c r="AJ410" s="757"/>
    </row>
    <row r="411" spans="6:36" ht="15.75">
      <c r="F411" s="83"/>
      <c r="G411" s="83"/>
      <c r="H411" s="704" t="s">
        <v>660</v>
      </c>
      <c r="I411" s="750">
        <f>COUNTIF($F$9:$F$335,"X")</f>
        <v>0</v>
      </c>
      <c r="J411" s="701">
        <f ca="1">(SUMIF($G$9:$G$275,"X",$Q$9:Q313)+SUMIF($E$287:E373,"X",$O$287:$O$335))/1000</f>
        <v>0</v>
      </c>
      <c r="K411" s="701">
        <f ca="1">(SUMIF($G$9:$G$275,"X",$W$9:$W$274)+SUMIF($D$287:$D$335,"X",$U$287:$U$335))/1000</f>
        <v>0</v>
      </c>
      <c r="L411" s="701">
        <f ca="1">(SUMIF($F$9:$F$275,"X",$AC$9:$AC$274)+SUMIF($D$287:$D$335,"X",$AA$287:$AA$335))/1000</f>
        <v>0</v>
      </c>
      <c r="M411" s="701">
        <f ca="1">(SUMIF($F$9:$F$275,"X",$AI$9:$AI$274)+SUMIF($D$287:$D$335,"X",$AG$287:$AG$335))/1000</f>
        <v>0</v>
      </c>
      <c r="N411" s="753">
        <f>(SUMIF($F$9:$F$275,"X",$AJ$9:$AJ$275)+SUMIF($D326:$D374,"X",$AH$287:$AH$335))/1000</f>
        <v>0</v>
      </c>
      <c r="O411" s="703">
        <v>0</v>
      </c>
      <c r="P411" s="703">
        <v>0</v>
      </c>
      <c r="AJ411" s="757"/>
    </row>
    <row r="412" spans="6:36" ht="15.75">
      <c r="F412" s="83"/>
      <c r="G412" s="83"/>
      <c r="H412" s="704" t="s">
        <v>659</v>
      </c>
      <c r="I412" s="750">
        <f>COUNTIF($F$9:$F$335,"XI")</f>
        <v>0</v>
      </c>
      <c r="J412" s="701">
        <f ca="1">(SUMIF($G$9:$G$275,"XI",$Q$9:Q314)+SUMIF($E$287:E374,"XI",$O$287:$O$335))/1000</f>
        <v>0</v>
      </c>
      <c r="K412" s="701">
        <f ca="1">(SUMIF($G$9:$G$275,"XI",$W$9:$W$274)+SUMIF($D$287:$D$335,"XI",$U$287:$U$335))/1000</f>
        <v>0</v>
      </c>
      <c r="L412" s="701">
        <f ca="1">(SUMIF($F$9:$F$275,"XI",$AC$9:$AC$274)+SUMIF($D$287:$D$335,"XI",$AA$287:$AA$335))/1000</f>
        <v>0</v>
      </c>
      <c r="M412" s="701">
        <f ca="1">(SUMIF($F$9:$F$275,"XI",$AI$9:$AI$274)+SUMIF($D$287:$D$335,"XI",$AG$287:$AG$335))/1000</f>
        <v>0</v>
      </c>
      <c r="N412" s="753">
        <f>(SUMIF($F$9:$F$275,"XI",$AJ$9:$AJ$275)+SUMIF($D327:$D375,"XI",$AH$287:$AH$335))/1000</f>
        <v>0</v>
      </c>
      <c r="O412" s="703">
        <v>0</v>
      </c>
      <c r="P412" s="703">
        <v>0</v>
      </c>
      <c r="AJ412" s="757"/>
    </row>
    <row r="413" spans="6:36" ht="15.75">
      <c r="F413" s="83"/>
      <c r="G413" s="83"/>
      <c r="H413" s="704" t="s">
        <v>658</v>
      </c>
      <c r="I413" s="750">
        <f>COUNTIF($F$9:$F$335,"XII")</f>
        <v>0</v>
      </c>
      <c r="J413" s="701">
        <f ca="1">(SUMIF($G$9:$G$275,"XII",$Q$9:Q315)+SUMIF($E$287:E375,"XII",$O$287:$O$335))/1000</f>
        <v>0</v>
      </c>
      <c r="K413" s="701">
        <f ca="1">(SUMIF($G$9:$G$275,"XII",$W$9:$W$274)+SUMIF($D$287:$D$335,"XII",$U$287:$U$335))/1000</f>
        <v>0</v>
      </c>
      <c r="L413" s="701">
        <f ca="1">(SUMIF($F$9:$F$275,"XII",$AC$9:$AC$274)+SUMIF($D$287:$D$335,"XI",$AA$287:$AA$335))/1000</f>
        <v>0</v>
      </c>
      <c r="M413" s="701">
        <f ca="1">(SUMIF($F$9:$F$275,"XII",$AI$9:$AI$274)+SUMIF($D$287:$D$335,"XII",$AG$287:$AG$335))/1000</f>
        <v>0</v>
      </c>
      <c r="N413" s="753">
        <f>(SUMIF($F$9:$F$275,"XII",$AJ$9:$AJ$275)+SUMIF($D328:$D376,"XII",$AH$287:$AH$335))/1000</f>
        <v>0</v>
      </c>
      <c r="O413" s="703">
        <v>0</v>
      </c>
      <c r="P413" s="703">
        <v>0</v>
      </c>
      <c r="AJ413" s="757"/>
    </row>
    <row r="414" spans="6:36" ht="15.75">
      <c r="F414" s="83"/>
      <c r="G414" s="83"/>
      <c r="H414" s="704" t="s">
        <v>657</v>
      </c>
      <c r="I414" s="750">
        <f>COUNTIF($F$9:$F$335,"XIII")</f>
        <v>0</v>
      </c>
      <c r="J414" s="701">
        <f ca="1">(SUMIF($G$9:$G$275,"XIII",$Q$9:Q316)+SUMIF($E$287:E376,"XIII",$O$287:$O$335))/1000</f>
        <v>0</v>
      </c>
      <c r="K414" s="701">
        <f ca="1">(SUMIF($G$9:$G$275,"XIII",$W$9:$W$274)+SUMIF($D$287:$D$335,"XIII",$U$287:$U$335))/1000</f>
        <v>0</v>
      </c>
      <c r="L414" s="701">
        <f ca="1">(SUMIF($F$9:$F$275,"XIII",$AC$9:$AC$274)+SUMIF($D$287:$D$335,"XIII",$AA$287:$AA$335))/1000</f>
        <v>0</v>
      </c>
      <c r="M414" s="701">
        <f ca="1">(SUMIF($F$9:$F$275,"XIII",$AI$9:$AI$274)+SUMIF($D$287:$D$335,"XIII",$AG$287:$AG$335))/1000</f>
        <v>0</v>
      </c>
      <c r="N414" s="753">
        <f>(SUMIF($F$9:$F$275,"XIII",$AJ$9:$AJ$275)+SUMIF($D329:$D377,"XIII",$AH$287:$AH$335))/1000</f>
        <v>0</v>
      </c>
      <c r="O414" s="703">
        <v>0</v>
      </c>
      <c r="P414" s="703">
        <v>0</v>
      </c>
      <c r="AJ414" s="757"/>
    </row>
    <row r="415" spans="6:36" ht="15.75">
      <c r="F415" s="83"/>
      <c r="G415" s="83"/>
      <c r="H415" s="246" t="s">
        <v>656</v>
      </c>
      <c r="I415" s="750">
        <f>COUNTIF($F$9:$F$335,"ARMM")</f>
        <v>0</v>
      </c>
      <c r="J415" s="701">
        <f ca="1">(SUMIF($G$9:$G$275,"ARMM",$Q$9:Q317)+SUMIF($E$287:E377,"ARMM",$O$287:$O$335))/1000</f>
        <v>0</v>
      </c>
      <c r="K415" s="701">
        <f ca="1">(SUMIF($G$9:$G$275,"ARMM",$W$9:$W$274)+SUMIF($D$287:$D$335,"ARMM",$U$287:$U$335))/1000</f>
        <v>0</v>
      </c>
      <c r="L415" s="701">
        <f ca="1">(SUMIF($F$9:$F$275,"ARMM",$AC$9:$AC$274)+SUMIF($D$287:$D$335,"ARMM",$AA$287:$AA$335))/1000</f>
        <v>0</v>
      </c>
      <c r="M415" s="701">
        <f ca="1">(SUMIF($F$9:$F$275,"ARMM",$AI$9:$AI$274)+SUMIF($D$287:$D$335,"ARMM",$AG$287:$AG$335))/1000</f>
        <v>0</v>
      </c>
      <c r="N415" s="753">
        <f>(SUMIF($F$9:$F$275,"ARMM",$AJ$9:$AJ$275)+SUMIF($D330:$D378,"ARMM",$AH$287:$AH$335))/1000</f>
        <v>0</v>
      </c>
      <c r="O415" s="703">
        <v>0</v>
      </c>
      <c r="P415" s="703">
        <v>0</v>
      </c>
      <c r="AJ415" s="757"/>
    </row>
    <row r="416" spans="6:36" ht="15.75">
      <c r="F416" s="83"/>
      <c r="G416" s="83"/>
      <c r="H416" s="246" t="s">
        <v>671</v>
      </c>
      <c r="I416" s="750">
        <f>COUNTIF($F$9:$F$335,"CAR")</f>
        <v>0</v>
      </c>
      <c r="J416" s="701">
        <f ca="1">(SUMIF($G$9:$G$275,"CAR",$Q$9:Q318)+SUMIF($E$287:E378,"CAR",$O$287:$O$335))/1000</f>
        <v>0</v>
      </c>
      <c r="K416" s="701">
        <f ca="1">(SUMIF($F$9:$F$275,"CAR",$W$9:$W$274)+SUMIF($D$287:$D$335,"CAR",$U$287:$U$335))/1000</f>
        <v>0</v>
      </c>
      <c r="L416" s="701">
        <f ca="1">(SUMIF($F$9:$F$275,"CAR",$AC$9:$AC$274)+SUMIF($D$287:$D$335,"CAR",$AA$287:$AA$335))/1000</f>
        <v>0</v>
      </c>
      <c r="M416" s="701">
        <f ca="1">(SUMIF($F$9:$F$275,"CAR",$AI$9:$AI$274)+SUMIF($D$287:$D$335,"CAR",$AG$287:$AG$335))/1000</f>
        <v>0</v>
      </c>
      <c r="N416" s="753">
        <f>(SUMIF($F$9:$F$275,"CAR",$AJ$9:$AJ$275)+SUMIF($D331:$D379,"CAR",$AH$287:$AH$335))/1000</f>
        <v>0</v>
      </c>
      <c r="O416" s="703">
        <v>0</v>
      </c>
      <c r="P416" s="703">
        <v>0</v>
      </c>
      <c r="AJ416" s="757"/>
    </row>
    <row r="417" spans="6:36" ht="15.75">
      <c r="F417" s="83"/>
      <c r="G417" s="83"/>
      <c r="H417" s="246" t="s">
        <v>655</v>
      </c>
      <c r="I417" s="750">
        <f>COUNTIF($F$9:$F$335,"NCR")</f>
        <v>0</v>
      </c>
      <c r="J417" s="706">
        <f ca="1">(SUMIF($G$9:$G$275,"NCR",$Q$9:Q319)+SUMIF($E$287:E379,"NCR",$O$287:$O$335))/1000</f>
        <v>19.899999999999999</v>
      </c>
      <c r="K417" s="701">
        <f ca="1">(SUMIF($G$9:$G$275,"NCR",$W$9:$W$274)+SUMIF($D$287:$D$335,"NCR",$U$287:$U$335))/1000</f>
        <v>56.01</v>
      </c>
      <c r="L417" s="701">
        <f ca="1">(SUMIF($F$9:$F$275,"NCR",$AC$9:$AC$274)+SUMIF($D$287:$D$335,"NCR",$AA$287:$AA$335))/1000</f>
        <v>0</v>
      </c>
      <c r="M417" s="701">
        <f ca="1">(SUMIF($F$9:$F$275,"NCR",$AI$9:$AI$274)+SUMIF($D$287:$D$335,"NCR",$AG$287:$AG$335))/1000</f>
        <v>0</v>
      </c>
      <c r="N417" s="753">
        <f>(SUMIF($F$9:$F$275,"NCR",$AJ$9:$AJ$275)+SUMIF($D332:$D380,"NCR",$AH$287:$AH$335))/1000</f>
        <v>0</v>
      </c>
      <c r="O417" s="703">
        <v>0</v>
      </c>
      <c r="P417" s="703">
        <v>0</v>
      </c>
      <c r="AJ417" s="757"/>
    </row>
    <row r="418" spans="6:36" ht="15.75">
      <c r="F418" s="83"/>
      <c r="G418" s="83"/>
      <c r="H418" s="246" t="s">
        <v>722</v>
      </c>
      <c r="I418" s="749">
        <f>COUNTIF($F$9:$F$275,"Others")+COUNTIF($D$287:$D$335,"Others")</f>
        <v>21</v>
      </c>
      <c r="J418" s="706">
        <f ca="1">(SUMIF($F$9:$F$275,"Others",$Q$9:Q320)+SUMIF($D$287:D380,"Others",$O$287:$O$335))/1000</f>
        <v>5432.9139999999998</v>
      </c>
      <c r="K418" s="701">
        <f ca="1">(SUMIF($F$9:$F$275,"Others",$W$9:$W$274)+SUMIF($D$287:$D$335,"Others",$U$287:$U$335))/1000</f>
        <v>5410.3620000000001</v>
      </c>
      <c r="L418" s="701">
        <f ca="1">(SUMIF($F$9:$F$275,"Others",$AC$9:$AC$274)+SUMIF($D$287:$D$335,"Others",$AA$287:$AA$335))/1000</f>
        <v>2502.9360000000001</v>
      </c>
      <c r="M418" s="701">
        <f ca="1">(SUMIF($F$9:$F$275,"Others",$AI$9:$AI$274)+SUMIF($D$287:$D$335,"Others",$AG$287:$AG$335))/1000</f>
        <v>1627.598</v>
      </c>
      <c r="N418" s="753">
        <f>(SUMIF($F$9:$F$275,"Others",$AJ$9:$AJ$275)+SUMIF($D333:$D381,"Others",$AH$287:$AH$335))/1000</f>
        <v>14973.81</v>
      </c>
      <c r="O418" s="705">
        <f>(SUMIF(O357:O384,"Others",U357:U384))/1000</f>
        <v>0</v>
      </c>
      <c r="P418" s="705">
        <f>(SUMIF(P357:P384,"Others",V357:V384))/1000</f>
        <v>0</v>
      </c>
      <c r="AJ418" s="757"/>
    </row>
    <row r="419" spans="6:36" ht="15.75">
      <c r="F419" s="83"/>
      <c r="G419" s="83"/>
      <c r="H419" s="246" t="s">
        <v>716</v>
      </c>
      <c r="I419" s="749">
        <f>COUNTIF($F$9:$F$275,"Others2")+COUNTIF($D$287:$D$335,"Others2")</f>
        <v>19</v>
      </c>
      <c r="J419" s="706">
        <f ca="1">(SUMIF($F$9:$F$275,"Others2",$Q$9:Q321)+SUMIF($D$287:D381,"Others2",$O$287:$O$335))/1000</f>
        <v>197.469686</v>
      </c>
      <c r="K419" s="701">
        <f ca="1">(SUMIF($F$9:$F$275,"Others2",$W$9:$W$274)+SUMIF($D$287:$D$335,"Others2",$U$287:$U$335))/1000</f>
        <v>218.969686</v>
      </c>
      <c r="L419" s="701">
        <f ca="1">(SUMIF($F$9:$F$275,"Others2",$AC$9:$AC$274)+SUMIF($D$287:$D$335,"Others2",$AA$287:$AA$335))/1000</f>
        <v>235.469686</v>
      </c>
      <c r="M419" s="701">
        <f ca="1">(SUMIF($F$9:$F$275,"Others2",$AI$9:$AI$274)+SUMIF($D$287:$D$335,"Others2",$AG$287:$AG$335))/1000</f>
        <v>260.96968599999997</v>
      </c>
      <c r="N419" s="753">
        <f>(SUMIF($F$9:$F$275,"Others2",$AJ$9:$AJ$275)+SUMIF($D334:$D382,"Others2",$AH$287:$AH$335))/1000</f>
        <v>912.87874399999998</v>
      </c>
      <c r="O419" s="705">
        <v>0</v>
      </c>
      <c r="P419" s="705">
        <v>0</v>
      </c>
    </row>
    <row r="420" spans="6:36" ht="15.75">
      <c r="F420" s="83"/>
      <c r="G420" s="83"/>
      <c r="H420" s="309" t="s">
        <v>18</v>
      </c>
      <c r="I420" s="751">
        <f>+I398+I399+I400+I418+I419</f>
        <v>93</v>
      </c>
      <c r="J420" s="835">
        <f t="shared" ref="J420:P420" ca="1" si="36">(+J398+J399+J400+J418+J419)/1000</f>
        <v>7.09728480048439</v>
      </c>
      <c r="K420" s="835">
        <f t="shared" ca="1" si="36"/>
        <v>7.8246914194531705</v>
      </c>
      <c r="L420" s="835">
        <f t="shared" ca="1" si="36"/>
        <v>5.8826931362200003</v>
      </c>
      <c r="M420" s="835">
        <f t="shared" ca="1" si="36"/>
        <v>5.2725276333000002</v>
      </c>
      <c r="N420" s="835">
        <f t="shared" si="36"/>
        <v>24.495070721520001</v>
      </c>
      <c r="O420" s="835">
        <f t="shared" si="36"/>
        <v>0</v>
      </c>
      <c r="P420" s="835">
        <f t="shared" si="36"/>
        <v>0</v>
      </c>
    </row>
    <row r="421" spans="6:36" ht="15.75">
      <c r="H421" s="83"/>
      <c r="I421" s="83"/>
      <c r="J421" s="83"/>
      <c r="K421" s="83"/>
      <c r="L421" s="83"/>
      <c r="M421" s="83"/>
      <c r="N421" s="83"/>
      <c r="O421" s="83"/>
      <c r="P421" s="83"/>
    </row>
  </sheetData>
  <mergeCells count="224">
    <mergeCell ref="L4:AH4"/>
    <mergeCell ref="F5:F6"/>
    <mergeCell ref="G5:G6"/>
    <mergeCell ref="L5:Q5"/>
    <mergeCell ref="R5:W5"/>
    <mergeCell ref="X5:AC5"/>
    <mergeCell ref="AD5:AH5"/>
    <mergeCell ref="A2:B3"/>
    <mergeCell ref="A4:A6"/>
    <mergeCell ref="D4:D6"/>
    <mergeCell ref="E4:E6"/>
    <mergeCell ref="F4:G4"/>
    <mergeCell ref="H4:H6"/>
    <mergeCell ref="A31:D31"/>
    <mergeCell ref="A32:A34"/>
    <mergeCell ref="B32:B34"/>
    <mergeCell ref="C32:C34"/>
    <mergeCell ref="D32:D34"/>
    <mergeCell ref="E32:E34"/>
    <mergeCell ref="I4:I6"/>
    <mergeCell ref="J4:J6"/>
    <mergeCell ref="K4:K6"/>
    <mergeCell ref="D45:D46"/>
    <mergeCell ref="D53:D55"/>
    <mergeCell ref="E53:E55"/>
    <mergeCell ref="F53:F55"/>
    <mergeCell ref="G53:G55"/>
    <mergeCell ref="H53:H55"/>
    <mergeCell ref="R32:W32"/>
    <mergeCell ref="X32:AC32"/>
    <mergeCell ref="AD32:AH32"/>
    <mergeCell ref="L33:Q33"/>
    <mergeCell ref="R33:W33"/>
    <mergeCell ref="X33:AC33"/>
    <mergeCell ref="AD33:AH33"/>
    <mergeCell ref="F32:G33"/>
    <mergeCell ref="H32:H34"/>
    <mergeCell ref="I32:I34"/>
    <mergeCell ref="J32:J34"/>
    <mergeCell ref="K32:K34"/>
    <mergeCell ref="L32:Q32"/>
    <mergeCell ref="AG53:AG55"/>
    <mergeCell ref="AH53:AH55"/>
    <mergeCell ref="AB53:AB55"/>
    <mergeCell ref="AC53:AC55"/>
    <mergeCell ref="AD53:AD55"/>
    <mergeCell ref="B64:B65"/>
    <mergeCell ref="B69:I69"/>
    <mergeCell ref="A70:A72"/>
    <mergeCell ref="D70:D72"/>
    <mergeCell ref="E70:E72"/>
    <mergeCell ref="F70:G70"/>
    <mergeCell ref="H70:H72"/>
    <mergeCell ref="AA53:AA55"/>
    <mergeCell ref="U53:U55"/>
    <mergeCell ref="V53:V55"/>
    <mergeCell ref="W53:W55"/>
    <mergeCell ref="X53:X55"/>
    <mergeCell ref="Y53:Y55"/>
    <mergeCell ref="Z53:Z55"/>
    <mergeCell ref="O53:O55"/>
    <mergeCell ref="P53:P55"/>
    <mergeCell ref="Q53:Q55"/>
    <mergeCell ref="R53:R55"/>
    <mergeCell ref="S53:S55"/>
    <mergeCell ref="T53:T55"/>
    <mergeCell ref="I53:I55"/>
    <mergeCell ref="J53:J55"/>
    <mergeCell ref="K53:K55"/>
    <mergeCell ref="AE53:AE55"/>
    <mergeCell ref="AF53:AF55"/>
    <mergeCell ref="L53:L55"/>
    <mergeCell ref="M53:M55"/>
    <mergeCell ref="N53:N55"/>
    <mergeCell ref="J70:J72"/>
    <mergeCell ref="K70:K72"/>
    <mergeCell ref="L70:AH70"/>
    <mergeCell ref="F71:F72"/>
    <mergeCell ref="G71:G72"/>
    <mergeCell ref="L71:Q71"/>
    <mergeCell ref="R71:W71"/>
    <mergeCell ref="X71:AC71"/>
    <mergeCell ref="AD71:AH71"/>
    <mergeCell ref="I70:I72"/>
    <mergeCell ref="O86:O89"/>
    <mergeCell ref="P86:P89"/>
    <mergeCell ref="D86:D87"/>
    <mergeCell ref="E86:E89"/>
    <mergeCell ref="F86:F89"/>
    <mergeCell ref="G86:G89"/>
    <mergeCell ref="I86:I89"/>
    <mergeCell ref="J86:J89"/>
    <mergeCell ref="D88:D89"/>
    <mergeCell ref="Q86:Q89"/>
    <mergeCell ref="R86:R89"/>
    <mergeCell ref="S86:S89"/>
    <mergeCell ref="AD86:AD89"/>
    <mergeCell ref="AE86:AE89"/>
    <mergeCell ref="AF86:AF89"/>
    <mergeCell ref="AG86:AG89"/>
    <mergeCell ref="K97:K99"/>
    <mergeCell ref="L97:AH97"/>
    <mergeCell ref="AH86:AH89"/>
    <mergeCell ref="W86:W89"/>
    <mergeCell ref="X86:X89"/>
    <mergeCell ref="Y86:Y89"/>
    <mergeCell ref="Z86:Z89"/>
    <mergeCell ref="AA86:AA89"/>
    <mergeCell ref="T86:T89"/>
    <mergeCell ref="U86:U89"/>
    <mergeCell ref="V86:V89"/>
    <mergeCell ref="AC86:AC89"/>
    <mergeCell ref="AB86:AB89"/>
    <mergeCell ref="K86:K89"/>
    <mergeCell ref="L86:L89"/>
    <mergeCell ref="M86:M89"/>
    <mergeCell ref="N86:N89"/>
    <mergeCell ref="A98:A99"/>
    <mergeCell ref="F98:F99"/>
    <mergeCell ref="G98:G99"/>
    <mergeCell ref="L98:Q98"/>
    <mergeCell ref="R98:W98"/>
    <mergeCell ref="X98:AC98"/>
    <mergeCell ref="AD98:AH98"/>
    <mergeCell ref="D97:D99"/>
    <mergeCell ref="E97:E99"/>
    <mergeCell ref="F97:G97"/>
    <mergeCell ref="H97:H99"/>
    <mergeCell ref="I97:I99"/>
    <mergeCell ref="J97:J99"/>
    <mergeCell ref="A111:J111"/>
    <mergeCell ref="A112:J112"/>
    <mergeCell ref="A113:J113"/>
    <mergeCell ref="A120:J120"/>
    <mergeCell ref="A121:D121"/>
    <mergeCell ref="A122:J122"/>
    <mergeCell ref="A101:E101"/>
    <mergeCell ref="A102:E102"/>
    <mergeCell ref="A103:J103"/>
    <mergeCell ref="A104:D104"/>
    <mergeCell ref="A105:D105"/>
    <mergeCell ref="A110:E110"/>
    <mergeCell ref="A124:J124"/>
    <mergeCell ref="A125:J125"/>
    <mergeCell ref="A126:J126"/>
    <mergeCell ref="A128:J128"/>
    <mergeCell ref="A137:A139"/>
    <mergeCell ref="B137:B139"/>
    <mergeCell ref="C137:C139"/>
    <mergeCell ref="D137:D139"/>
    <mergeCell ref="E137:E139"/>
    <mergeCell ref="F137:G137"/>
    <mergeCell ref="X137:AC137"/>
    <mergeCell ref="K137:K139"/>
    <mergeCell ref="L137:Q137"/>
    <mergeCell ref="R137:W137"/>
    <mergeCell ref="K191:K193"/>
    <mergeCell ref="L191:AH191"/>
    <mergeCell ref="AD137:AH137"/>
    <mergeCell ref="F138:F139"/>
    <mergeCell ref="G138:G139"/>
    <mergeCell ref="L138:Q138"/>
    <mergeCell ref="R138:W138"/>
    <mergeCell ref="X138:AC138"/>
    <mergeCell ref="AD138:AH138"/>
    <mergeCell ref="H137:H139"/>
    <mergeCell ref="I137:I139"/>
    <mergeCell ref="J137:J139"/>
    <mergeCell ref="AD192:AH192"/>
    <mergeCell ref="R192:W192"/>
    <mergeCell ref="X192:AC192"/>
    <mergeCell ref="D191:D193"/>
    <mergeCell ref="E191:E193"/>
    <mergeCell ref="A195:E195"/>
    <mergeCell ref="A196:E196"/>
    <mergeCell ref="A197:J197"/>
    <mergeCell ref="A192:A193"/>
    <mergeCell ref="F192:F193"/>
    <mergeCell ref="G192:G193"/>
    <mergeCell ref="L192:Q192"/>
    <mergeCell ref="F191:G191"/>
    <mergeCell ref="H191:H193"/>
    <mergeCell ref="I191:I193"/>
    <mergeCell ref="J191:J193"/>
    <mergeCell ref="K219:K221"/>
    <mergeCell ref="L219:AH219"/>
    <mergeCell ref="F220:F221"/>
    <mergeCell ref="G220:G221"/>
    <mergeCell ref="L220:Q220"/>
    <mergeCell ref="R220:W220"/>
    <mergeCell ref="X220:AC220"/>
    <mergeCell ref="AD220:AH220"/>
    <mergeCell ref="A198:D198"/>
    <mergeCell ref="A206:I206"/>
    <mergeCell ref="A207:A209"/>
    <mergeCell ref="A217:J217"/>
    <mergeCell ref="A219:A221"/>
    <mergeCell ref="D219:D221"/>
    <mergeCell ref="E219:E221"/>
    <mergeCell ref="F219:G219"/>
    <mergeCell ref="H219:H221"/>
    <mergeCell ref="I219:I221"/>
    <mergeCell ref="J219:J221"/>
    <mergeCell ref="A223:D223"/>
    <mergeCell ref="A224:J224"/>
    <mergeCell ref="A282:A284"/>
    <mergeCell ref="B282:B284"/>
    <mergeCell ref="C282:C284"/>
    <mergeCell ref="D282:E282"/>
    <mergeCell ref="F282:F284"/>
    <mergeCell ref="G282:G284"/>
    <mergeCell ref="H282:H284"/>
    <mergeCell ref="I282:I284"/>
    <mergeCell ref="J282:O282"/>
    <mergeCell ref="J370:P370"/>
    <mergeCell ref="P282:U282"/>
    <mergeCell ref="V282:AA282"/>
    <mergeCell ref="AB282:AG282"/>
    <mergeCell ref="D283:D284"/>
    <mergeCell ref="E283:E284"/>
    <mergeCell ref="J283:O283"/>
    <mergeCell ref="P283:U283"/>
    <mergeCell ref="V283:AA283"/>
    <mergeCell ref="AB283:AG28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63C368-272F-42B4-9EFC-15997E53B434}"/>
</file>

<file path=customXml/itemProps2.xml><?xml version="1.0" encoding="utf-8"?>
<ds:datastoreItem xmlns:ds="http://schemas.openxmlformats.org/officeDocument/2006/customXml" ds:itemID="{4C45F693-372D-4D34-AA55-E2AB7E1ACA69}"/>
</file>

<file path=customXml/itemProps3.xml><?xml version="1.0" encoding="utf-8"?>
<ds:datastoreItem xmlns:ds="http://schemas.openxmlformats.org/officeDocument/2006/customXml" ds:itemID="{76364661-9D56-4099-B985-D4EEE17BF2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Annex A</vt:lpstr>
      <vt:lpstr>Chapter 7 Annex B</vt:lpstr>
      <vt:lpstr>B-1 Strategic CIPs</vt:lpstr>
      <vt:lpstr>Annex B-2 LGAR</vt:lpstr>
      <vt:lpstr>Annex B-2</vt:lpstr>
      <vt:lpstr>Sheet1</vt:lpstr>
      <vt:lpstr>Annex B2 spatial coverage1</vt:lpstr>
      <vt:lpstr>nonCIP Spatial2</vt:lpstr>
      <vt:lpstr>'Annex A'!Print_Area</vt:lpstr>
      <vt:lpstr>'Annex B-2'!Print_Area</vt:lpstr>
      <vt:lpstr>'Annex B-2 LGAR'!Print_Area</vt:lpstr>
      <vt:lpstr>'Chapter 7 Annex B'!Print_Area</vt:lpstr>
      <vt:lpstr>'Annex A'!Print_Titles</vt:lpstr>
      <vt:lpstr>'B-1 Strategic CIPs'!Print_Titles</vt:lpstr>
      <vt:lpstr>'Chapter 7 Annex B'!Print_Titles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2014-10-07T08:13:28Z</cp:lastPrinted>
  <dcterms:created xsi:type="dcterms:W3CDTF">2011-01-10T08:16:27Z</dcterms:created>
  <dcterms:modified xsi:type="dcterms:W3CDTF">2014-10-07T08:13:38Z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